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hidePivotFieldList="1" defaultThemeVersion="166925"/>
  <mc:AlternateContent xmlns:mc="http://schemas.openxmlformats.org/markup-compatibility/2006">
    <mc:Choice Requires="x15">
      <x15ac:absPath xmlns:x15ac="http://schemas.microsoft.com/office/spreadsheetml/2010/11/ac" url="https://dnbcgovco-my.sharepoint.com/personal/adriana_moreno_dnbc_gov_co/Documents/Documentos/DNBC/2021/PLANES Y PROGRAMAS/PES/"/>
    </mc:Choice>
  </mc:AlternateContent>
  <xr:revisionPtr revIDLastSave="0" documentId="8_{A1188F01-F6CF-4870-ABD5-3663E18C5EAA}" xr6:coauthVersionLast="47" xr6:coauthVersionMax="47" xr10:uidLastSave="{00000000-0000-0000-0000-000000000000}"/>
  <bookViews>
    <workbookView xWindow="-120" yWindow="-120" windowWidth="29040" windowHeight="15840" tabRatio="744" activeTab="1" xr2:uid="{00000000-000D-0000-FFFF-FFFF00000000}"/>
  </bookViews>
  <sheets>
    <sheet name="Avances" sheetId="2" r:id="rId1"/>
    <sheet name="Formula y segui PES_Fórmulas" sheetId="1" r:id="rId2"/>
  </sheets>
  <definedNames>
    <definedName name="_xlnm._FilterDatabase" localSheetId="1" hidden="1">'Formula y segui PES_Fórmulas'!$A$7:$CW$71</definedName>
    <definedName name="_xlnm.Print_Area" localSheetId="0">Avances!$A$1:$M$84</definedName>
    <definedName name="bm">'Formula y segui PES_Fórmulas'!$A$58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X17" i="1" l="1"/>
  <c r="BX18" i="1"/>
  <c r="BX19" i="1"/>
  <c r="BX20" i="1"/>
  <c r="BX21" i="1"/>
  <c r="BX22" i="1"/>
  <c r="BW22" i="1"/>
  <c r="BW17" i="1"/>
  <c r="BW18" i="1"/>
  <c r="BW19" i="1"/>
  <c r="BW20" i="1"/>
  <c r="BW21" i="1"/>
  <c r="BX16" i="1" l="1"/>
  <c r="BW16" i="1"/>
  <c r="BM17" i="1" l="1"/>
  <c r="BK17" i="1"/>
  <c r="CE9" i="1" l="1"/>
  <c r="CE10" i="1"/>
  <c r="CE11" i="1"/>
  <c r="CE12" i="1"/>
  <c r="CE13" i="1"/>
  <c r="CE14" i="1"/>
  <c r="CE15" i="1"/>
  <c r="CE16" i="1"/>
  <c r="CE17" i="1"/>
  <c r="CE18" i="1"/>
  <c r="CE19" i="1"/>
  <c r="CE20" i="1"/>
  <c r="CE21" i="1"/>
  <c r="CE22" i="1"/>
  <c r="CE23" i="1"/>
  <c r="CE24" i="1"/>
  <c r="CE25" i="1"/>
  <c r="CE26" i="1"/>
  <c r="CE27"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54" i="1"/>
  <c r="CE55" i="1"/>
  <c r="CE56" i="1"/>
  <c r="CE57" i="1"/>
  <c r="CE58" i="1"/>
  <c r="CE59" i="1"/>
  <c r="CE60" i="1"/>
  <c r="CE61" i="1"/>
  <c r="CE62" i="1"/>
  <c r="CE63" i="1"/>
  <c r="CE64" i="1"/>
  <c r="CE65" i="1"/>
  <c r="CE66" i="1"/>
  <c r="CE67" i="1"/>
  <c r="CE68" i="1"/>
  <c r="CE69" i="1"/>
  <c r="CE70" i="1"/>
  <c r="CE71" i="1"/>
  <c r="CB7" i="1"/>
  <c r="CJ71" i="1" l="1"/>
  <c r="CJ67" i="1"/>
  <c r="CJ65" i="1"/>
  <c r="CJ63" i="1"/>
  <c r="CJ61" i="1"/>
  <c r="CJ59" i="1"/>
  <c r="CJ57" i="1"/>
  <c r="CJ55" i="1"/>
  <c r="CJ53" i="1"/>
  <c r="CJ51" i="1"/>
  <c r="CJ49" i="1"/>
  <c r="CJ44" i="1"/>
  <c r="CJ36" i="1"/>
  <c r="CJ28" i="1"/>
  <c r="CJ20" i="1"/>
  <c r="CJ12" i="1"/>
  <c r="CJ48" i="1"/>
  <c r="CJ45" i="1"/>
  <c r="CJ43" i="1"/>
  <c r="CJ41" i="1"/>
  <c r="CJ39" i="1"/>
  <c r="CJ35" i="1"/>
  <c r="CJ33" i="1"/>
  <c r="CJ31" i="1"/>
  <c r="CJ27" i="1"/>
  <c r="CJ21" i="1"/>
  <c r="CJ19" i="1"/>
  <c r="CJ17" i="1"/>
  <c r="CJ15" i="1"/>
  <c r="CJ13" i="1"/>
  <c r="CJ11" i="1"/>
  <c r="CJ70" i="1"/>
  <c r="CJ68" i="1"/>
  <c r="CJ64" i="1"/>
  <c r="CJ62" i="1"/>
  <c r="CJ60" i="1"/>
  <c r="CJ56" i="1"/>
  <c r="CJ54" i="1"/>
  <c r="CJ50" i="1"/>
  <c r="CJ42" i="1"/>
  <c r="CJ38" i="1"/>
  <c r="CJ34" i="1"/>
  <c r="CJ30" i="1"/>
  <c r="CJ22" i="1"/>
  <c r="CJ18" i="1"/>
  <c r="CJ14" i="1"/>
  <c r="CJ10" i="1"/>
  <c r="Z40" i="1" l="1"/>
  <c r="CF25" i="1"/>
  <c r="CG25" i="1"/>
  <c r="CH25" i="1"/>
  <c r="CI25" i="1"/>
  <c r="AF7" i="1"/>
  <c r="BN7" i="1"/>
  <c r="AB25" i="1"/>
  <c r="CQ63" i="1" l="1"/>
  <c r="CQ30" i="1"/>
  <c r="CO47" i="1"/>
  <c r="CP47" i="1"/>
  <c r="CQ36" i="1"/>
  <c r="CP63" i="1"/>
  <c r="CO63" i="1"/>
  <c r="CP46" i="1"/>
  <c r="CO46" i="1"/>
  <c r="AB60" i="1" l="1"/>
  <c r="BJ57" i="1" l="1"/>
  <c r="AB57" i="1"/>
  <c r="BJ56" i="1"/>
  <c r="BJ52" i="1"/>
  <c r="AB52" i="1"/>
  <c r="BJ46" i="1" l="1"/>
  <c r="BJ45" i="1"/>
  <c r="BJ44" i="1"/>
  <c r="BA25" i="1"/>
  <c r="AZ25" i="1"/>
  <c r="AY25" i="1"/>
  <c r="AX25" i="1"/>
  <c r="R25" i="1"/>
  <c r="Q25" i="1"/>
  <c r="P25" i="1"/>
  <c r="O25" i="1"/>
  <c r="S25" i="1" l="1"/>
  <c r="BB25" i="1"/>
  <c r="BJ70" i="1"/>
  <c r="BJ65" i="1" l="1"/>
  <c r="BJ64" i="1"/>
  <c r="BJ62" i="1" l="1"/>
  <c r="AB62" i="1"/>
  <c r="BJ61" i="1"/>
  <c r="BJ60" i="1"/>
  <c r="BJ41" i="1" l="1"/>
  <c r="BJ40" i="1"/>
  <c r="AB40" i="1" l="1"/>
  <c r="BJ17" i="1"/>
  <c r="BJ13" i="1" l="1"/>
  <c r="BT12" i="1"/>
  <c r="BT11" i="1"/>
  <c r="BB8" i="1"/>
  <c r="BP7" i="1" l="1"/>
  <c r="BM7" i="1"/>
  <c r="BJ7" i="1"/>
  <c r="BI7" i="1"/>
  <c r="AK7" i="1"/>
  <c r="AH7" i="1"/>
  <c r="AE7" i="1"/>
  <c r="AD7" i="1"/>
  <c r="AC7" i="1"/>
  <c r="AB7" i="1"/>
  <c r="AA7" i="1"/>
  <c r="BI67" i="1" l="1"/>
  <c r="BI66" i="1"/>
  <c r="BI46" i="1"/>
  <c r="BI45" i="1"/>
  <c r="BI44" i="1"/>
  <c r="AA46" i="1"/>
  <c r="AA43" i="1"/>
  <c r="C18" i="2"/>
  <c r="CE8" i="1"/>
  <c r="AM7" i="1"/>
  <c r="I7" i="1"/>
  <c r="AA21" i="1"/>
  <c r="Z21" i="1"/>
  <c r="BF40" i="1"/>
  <c r="BF41" i="1"/>
  <c r="Q43" i="1"/>
  <c r="AA52" i="1"/>
  <c r="AA56" i="1"/>
  <c r="Z56" i="1"/>
  <c r="AA57" i="1"/>
  <c r="AA63" i="1"/>
  <c r="Z63" i="1"/>
  <c r="CI24" i="1"/>
  <c r="CI26" i="1"/>
  <c r="CI27" i="1"/>
  <c r="CI28" i="1"/>
  <c r="C19" i="2"/>
  <c r="C20" i="2"/>
  <c r="BH58" i="1"/>
  <c r="BH61" i="1"/>
  <c r="BY7" i="1"/>
  <c r="AO7" i="1"/>
  <c r="BH17" i="1"/>
  <c r="BH34" i="1"/>
  <c r="BH43" i="1"/>
  <c r="BH56" i="1"/>
  <c r="BH62" i="1"/>
  <c r="BH65" i="1"/>
  <c r="BH69" i="1"/>
  <c r="BH70" i="1"/>
  <c r="CI58" i="1"/>
  <c r="CI59" i="1"/>
  <c r="CI60" i="1"/>
  <c r="CI61" i="1"/>
  <c r="CI8" i="1"/>
  <c r="CI9" i="1"/>
  <c r="CI10" i="1"/>
  <c r="CI11" i="1"/>
  <c r="CI12" i="1"/>
  <c r="CI13" i="1"/>
  <c r="CI14" i="1"/>
  <c r="CI15" i="1"/>
  <c r="CI16" i="1"/>
  <c r="CI17" i="1"/>
  <c r="CI18" i="1"/>
  <c r="CI19" i="1"/>
  <c r="CI20" i="1"/>
  <c r="CI21" i="1"/>
  <c r="CI22" i="1"/>
  <c r="CI23"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5" i="1"/>
  <c r="CI56" i="1"/>
  <c r="CI57" i="1"/>
  <c r="CI62" i="1"/>
  <c r="CI63" i="1"/>
  <c r="CI64" i="1"/>
  <c r="CI65" i="1"/>
  <c r="CI66" i="1"/>
  <c r="CI67" i="1"/>
  <c r="CI68" i="1"/>
  <c r="CI69" i="1"/>
  <c r="CI70" i="1"/>
  <c r="CI71" i="1"/>
  <c r="C21" i="2"/>
  <c r="BI70" i="1"/>
  <c r="BI64" i="1"/>
  <c r="BI62" i="1"/>
  <c r="BI61" i="1"/>
  <c r="BI60" i="1"/>
  <c r="BI57" i="1"/>
  <c r="BI56" i="1"/>
  <c r="BI52" i="1"/>
  <c r="BI41" i="1"/>
  <c r="BI40" i="1"/>
  <c r="BB20" i="1"/>
  <c r="BB19" i="1"/>
  <c r="BB18" i="1"/>
  <c r="BI17" i="1"/>
  <c r="BB16" i="1"/>
  <c r="BI13" i="1"/>
  <c r="BB12" i="1"/>
  <c r="BB11" i="1"/>
  <c r="BB9" i="1"/>
  <c r="A7" i="1"/>
  <c r="AN7" i="1"/>
  <c r="BT15" i="1"/>
  <c r="BT14" i="1"/>
  <c r="BT13" i="1"/>
  <c r="BT8" i="1"/>
  <c r="U43" i="1"/>
  <c r="R45" i="1"/>
  <c r="R44" i="1"/>
  <c r="R43" i="1"/>
  <c r="Q45" i="1"/>
  <c r="Q44" i="1"/>
  <c r="P45" i="1"/>
  <c r="P44" i="1"/>
  <c r="P43" i="1"/>
  <c r="O45" i="1"/>
  <c r="O44" i="1"/>
  <c r="O43" i="1"/>
  <c r="BG43" i="1"/>
  <c r="Y43" i="1" s="1"/>
  <c r="BF43" i="1"/>
  <c r="X43" i="1" s="1"/>
  <c r="BE43" i="1"/>
  <c r="BH71" i="1"/>
  <c r="BG34" i="1"/>
  <c r="BH7" i="1"/>
  <c r="Z7" i="1"/>
  <c r="BE39" i="1"/>
  <c r="BE38" i="1"/>
  <c r="BF35" i="1"/>
  <c r="BE34" i="1"/>
  <c r="BG71" i="1"/>
  <c r="BF71" i="1"/>
  <c r="BE71" i="1"/>
  <c r="BD71" i="1"/>
  <c r="BC71" i="1"/>
  <c r="BG70" i="1"/>
  <c r="BF70" i="1"/>
  <c r="BE70" i="1"/>
  <c r="BD70" i="1"/>
  <c r="BC70" i="1"/>
  <c r="BG69" i="1"/>
  <c r="BC69" i="1"/>
  <c r="BG56" i="1"/>
  <c r="X57" i="1"/>
  <c r="W57" i="1"/>
  <c r="Y56" i="1"/>
  <c r="X56" i="1"/>
  <c r="W56" i="1"/>
  <c r="BG65" i="1"/>
  <c r="BF65" i="1"/>
  <c r="BE65" i="1"/>
  <c r="BD65" i="1"/>
  <c r="Y63" i="1"/>
  <c r="X63" i="1"/>
  <c r="BG58" i="1"/>
  <c r="BE42" i="1"/>
  <c r="BE41" i="1"/>
  <c r="BE40" i="1"/>
  <c r="BD40" i="1"/>
  <c r="V40" i="1" s="1"/>
  <c r="Y40" i="1"/>
  <c r="BD13" i="1"/>
  <c r="BG17" i="1"/>
  <c r="BF17" i="1"/>
  <c r="BE17" i="1"/>
  <c r="BD17" i="1"/>
  <c r="BC17" i="1"/>
  <c r="Y21" i="1"/>
  <c r="X21" i="1"/>
  <c r="W21" i="1"/>
  <c r="V21" i="1"/>
  <c r="U21" i="1"/>
  <c r="BG61" i="1"/>
  <c r="BF61" i="1"/>
  <c r="BE61" i="1"/>
  <c r="BD61" i="1"/>
  <c r="BG7" i="1"/>
  <c r="Y7" i="1"/>
  <c r="X7" i="1"/>
  <c r="CG8" i="1"/>
  <c r="CF8" i="1"/>
  <c r="CF9" i="1"/>
  <c r="CF10" i="1"/>
  <c r="CF11" i="1"/>
  <c r="CF12" i="1"/>
  <c r="CF13" i="1"/>
  <c r="CF14" i="1"/>
  <c r="CF15" i="1"/>
  <c r="CF16" i="1"/>
  <c r="CF17" i="1"/>
  <c r="CF18" i="1"/>
  <c r="CF19" i="1"/>
  <c r="CF20" i="1"/>
  <c r="CF21" i="1"/>
  <c r="CF22" i="1"/>
  <c r="CF23" i="1"/>
  <c r="CF24" i="1"/>
  <c r="CF26" i="1"/>
  <c r="CF27" i="1"/>
  <c r="CF28" i="1"/>
  <c r="CF29" i="1"/>
  <c r="CF30" i="1"/>
  <c r="CF31" i="1"/>
  <c r="CF32" i="1"/>
  <c r="CF33" i="1"/>
  <c r="CF34" i="1"/>
  <c r="CF35" i="1"/>
  <c r="CF36" i="1"/>
  <c r="CF37" i="1"/>
  <c r="CF38" i="1"/>
  <c r="CF39" i="1"/>
  <c r="CF40" i="1"/>
  <c r="CF41" i="1"/>
  <c r="CF42" i="1"/>
  <c r="CF43" i="1"/>
  <c r="CF44" i="1"/>
  <c r="CF45" i="1"/>
  <c r="CF46" i="1"/>
  <c r="CF47" i="1"/>
  <c r="CF48" i="1"/>
  <c r="CF49" i="1"/>
  <c r="CF50" i="1"/>
  <c r="CF51" i="1"/>
  <c r="CF52" i="1"/>
  <c r="CF53" i="1"/>
  <c r="CF54" i="1"/>
  <c r="CF55" i="1"/>
  <c r="CF56" i="1"/>
  <c r="CF57" i="1"/>
  <c r="CF58" i="1"/>
  <c r="CF59" i="1"/>
  <c r="CF60" i="1"/>
  <c r="CF61" i="1"/>
  <c r="CF62" i="1"/>
  <c r="CF63" i="1"/>
  <c r="CF65" i="1"/>
  <c r="CF66" i="1"/>
  <c r="CF67" i="1"/>
  <c r="CF68" i="1"/>
  <c r="CF69" i="1"/>
  <c r="CF70" i="1"/>
  <c r="CF71" i="1"/>
  <c r="CG9" i="1"/>
  <c r="CG10" i="1"/>
  <c r="CG11" i="1"/>
  <c r="CG12" i="1"/>
  <c r="CG13" i="1"/>
  <c r="CG14" i="1"/>
  <c r="CG15" i="1"/>
  <c r="CG16" i="1"/>
  <c r="CG17" i="1"/>
  <c r="CG18" i="1"/>
  <c r="CG19" i="1"/>
  <c r="CG20" i="1"/>
  <c r="CG21" i="1"/>
  <c r="CG22" i="1"/>
  <c r="CG23" i="1"/>
  <c r="CG24" i="1"/>
  <c r="CG26" i="1"/>
  <c r="CG27"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4" i="1"/>
  <c r="CG55" i="1"/>
  <c r="CG56" i="1"/>
  <c r="CG57" i="1"/>
  <c r="CG58" i="1"/>
  <c r="CG59" i="1"/>
  <c r="CG60" i="1"/>
  <c r="CG61" i="1"/>
  <c r="CG62" i="1"/>
  <c r="CG63" i="1"/>
  <c r="CG64" i="1"/>
  <c r="CG65" i="1"/>
  <c r="CG66" i="1"/>
  <c r="CG67" i="1"/>
  <c r="CG68" i="1"/>
  <c r="CG69" i="1"/>
  <c r="CG70" i="1"/>
  <c r="CG71" i="1"/>
  <c r="BX7" i="1"/>
  <c r="BW7" i="1"/>
  <c r="BV7" i="1"/>
  <c r="BU7" i="1"/>
  <c r="BT7" i="1"/>
  <c r="BS7" i="1"/>
  <c r="BO7" i="1"/>
  <c r="BF7" i="1"/>
  <c r="BE7" i="1"/>
  <c r="BD7" i="1"/>
  <c r="BC7" i="1"/>
  <c r="BB7" i="1"/>
  <c r="BA7" i="1"/>
  <c r="AZ7" i="1"/>
  <c r="AY7" i="1"/>
  <c r="AX7" i="1"/>
  <c r="AW7" i="1"/>
  <c r="AV7" i="1"/>
  <c r="AU7" i="1"/>
  <c r="AT7" i="1"/>
  <c r="AS7" i="1"/>
  <c r="AR7" i="1"/>
  <c r="AQ7" i="1"/>
  <c r="AP7" i="1"/>
  <c r="CA7" i="1"/>
  <c r="BZ7" i="1"/>
  <c r="W7" i="1"/>
  <c r="V7" i="1"/>
  <c r="U7" i="1"/>
  <c r="R7" i="1"/>
  <c r="Q7" i="1"/>
  <c r="P7" i="1"/>
  <c r="O7" i="1"/>
  <c r="AL7" i="1"/>
  <c r="AG7" i="1"/>
  <c r="T7" i="1"/>
  <c r="S7" i="1"/>
  <c r="N7" i="1"/>
  <c r="M7" i="1"/>
  <c r="L7" i="1"/>
  <c r="K7" i="1"/>
  <c r="J7" i="1"/>
  <c r="H7" i="1"/>
  <c r="G7" i="1"/>
  <c r="F7" i="1"/>
  <c r="E7" i="1"/>
  <c r="D7" i="1"/>
  <c r="C7" i="1"/>
  <c r="B7" i="1"/>
  <c r="BF62" i="1"/>
  <c r="CH71" i="1"/>
  <c r="CH70" i="1"/>
  <c r="CH69" i="1"/>
  <c r="CH68" i="1"/>
  <c r="CH67" i="1"/>
  <c r="CH66" i="1"/>
  <c r="CH65" i="1"/>
  <c r="CH63" i="1"/>
  <c r="CH62" i="1"/>
  <c r="CH61" i="1"/>
  <c r="CH60" i="1"/>
  <c r="CH59" i="1"/>
  <c r="CH58" i="1"/>
  <c r="CH57" i="1"/>
  <c r="CH56" i="1"/>
  <c r="CH55" i="1"/>
  <c r="CH54" i="1"/>
  <c r="CH53" i="1"/>
  <c r="CH52" i="1"/>
  <c r="CH51" i="1"/>
  <c r="CH50" i="1"/>
  <c r="CH49" i="1"/>
  <c r="CH48" i="1"/>
  <c r="CH47" i="1"/>
  <c r="CH46" i="1"/>
  <c r="CH45" i="1"/>
  <c r="CH44" i="1"/>
  <c r="CH43" i="1"/>
  <c r="CH42" i="1"/>
  <c r="CH41" i="1"/>
  <c r="CH40" i="1"/>
  <c r="CH39" i="1"/>
  <c r="CH38" i="1"/>
  <c r="CH37" i="1"/>
  <c r="CH36" i="1"/>
  <c r="CH35" i="1"/>
  <c r="CH34" i="1"/>
  <c r="CH33" i="1"/>
  <c r="CH32" i="1"/>
  <c r="CH31" i="1"/>
  <c r="CH30" i="1"/>
  <c r="CH29" i="1"/>
  <c r="CH28" i="1"/>
  <c r="CH27" i="1"/>
  <c r="CH26" i="1"/>
  <c r="CH24" i="1"/>
  <c r="CH23" i="1"/>
  <c r="CH22" i="1"/>
  <c r="CH21" i="1"/>
  <c r="CH20" i="1"/>
  <c r="CH19" i="1"/>
  <c r="CH18" i="1"/>
  <c r="CH17" i="1"/>
  <c r="CH16" i="1"/>
  <c r="CH15" i="1"/>
  <c r="CH14" i="1"/>
  <c r="CH13" i="1"/>
  <c r="CH12" i="1"/>
  <c r="CH11" i="1"/>
  <c r="CH10" i="1"/>
  <c r="CH9" i="1"/>
  <c r="CH8" i="1"/>
  <c r="C23" i="2"/>
  <c r="C22" i="2"/>
  <c r="CJ23" i="1" l="1"/>
  <c r="CJ29" i="1"/>
  <c r="CJ32" i="1"/>
  <c r="CJ24" i="1"/>
  <c r="CJ37" i="1"/>
  <c r="CJ46" i="1"/>
  <c r="CJ25" i="1"/>
  <c r="CJ26" i="1"/>
  <c r="CJ47" i="1"/>
  <c r="CJ40" i="1"/>
  <c r="CJ69" i="1"/>
  <c r="CJ16" i="1"/>
  <c r="CJ66" i="1"/>
  <c r="CJ58" i="1"/>
  <c r="X40" i="1"/>
  <c r="CU68" i="1"/>
  <c r="CM68" i="1"/>
  <c r="CL68" i="1"/>
  <c r="CU66" i="1"/>
  <c r="CM66" i="1"/>
  <c r="CL66" i="1"/>
  <c r="CS67" i="1"/>
  <c r="CM64" i="1"/>
  <c r="CU64" i="1"/>
  <c r="CL64" i="1"/>
  <c r="CS63" i="1"/>
  <c r="CU60" i="1"/>
  <c r="CM60" i="1"/>
  <c r="CL60" i="1"/>
  <c r="CV56" i="1"/>
  <c r="CS57" i="1"/>
  <c r="CU54" i="1"/>
  <c r="CM54" i="1"/>
  <c r="CL54" i="1"/>
  <c r="CS55" i="1"/>
  <c r="CU52" i="1"/>
  <c r="CM52" i="1"/>
  <c r="CL52" i="1"/>
  <c r="CS53" i="1"/>
  <c r="CU50" i="1"/>
  <c r="CM50" i="1"/>
  <c r="CL50" i="1"/>
  <c r="CS51" i="1"/>
  <c r="CM48" i="1"/>
  <c r="CU48" i="1"/>
  <c r="CL48" i="1"/>
  <c r="CS49" i="1"/>
  <c r="CU46" i="1"/>
  <c r="CM46" i="1"/>
  <c r="CL46" i="1"/>
  <c r="CS47" i="1"/>
  <c r="CU44" i="1"/>
  <c r="CM44" i="1"/>
  <c r="CL44" i="1"/>
  <c r="CU42" i="1"/>
  <c r="CM42" i="1"/>
  <c r="CL42" i="1"/>
  <c r="CM40" i="1"/>
  <c r="CU40" i="1"/>
  <c r="CL40" i="1"/>
  <c r="CS41" i="1"/>
  <c r="CU38" i="1"/>
  <c r="CM38" i="1"/>
  <c r="CL38" i="1"/>
  <c r="CS39" i="1"/>
  <c r="CU36" i="1"/>
  <c r="CM36" i="1"/>
  <c r="CL36" i="1"/>
  <c r="CS37" i="1"/>
  <c r="CS35" i="1"/>
  <c r="CM32" i="1"/>
  <c r="CU32" i="1"/>
  <c r="CL32" i="1"/>
  <c r="CU30" i="1"/>
  <c r="CM30" i="1"/>
  <c r="CL30" i="1"/>
  <c r="CS31" i="1"/>
  <c r="CU28" i="1"/>
  <c r="CM28" i="1"/>
  <c r="CL28" i="1"/>
  <c r="CS29" i="1"/>
  <c r="CU26" i="1"/>
  <c r="CM26" i="1"/>
  <c r="CL26" i="1"/>
  <c r="CS26" i="1"/>
  <c r="CS27" i="1"/>
  <c r="CU23" i="1"/>
  <c r="CM23" i="1"/>
  <c r="CL23" i="1"/>
  <c r="CS24" i="1"/>
  <c r="CU21" i="1"/>
  <c r="CM21" i="1"/>
  <c r="CL21" i="1"/>
  <c r="CS22" i="1"/>
  <c r="CU19" i="1"/>
  <c r="CM19" i="1"/>
  <c r="CL19" i="1"/>
  <c r="CS20" i="1"/>
  <c r="CU15" i="1"/>
  <c r="CM15" i="1"/>
  <c r="CL15" i="1"/>
  <c r="CU13" i="1"/>
  <c r="CM13" i="1"/>
  <c r="CL13" i="1"/>
  <c r="CS14" i="1"/>
  <c r="CU11" i="1"/>
  <c r="CM11" i="1"/>
  <c r="CL11" i="1"/>
  <c r="CS12" i="1"/>
  <c r="CU9" i="1"/>
  <c r="CM9" i="1"/>
  <c r="CL9" i="1"/>
  <c r="CS10" i="1"/>
  <c r="CK70" i="1"/>
  <c r="CT70" i="1"/>
  <c r="CT68" i="1"/>
  <c r="CK68" i="1"/>
  <c r="CK66" i="1"/>
  <c r="CT66" i="1"/>
  <c r="CT63" i="1"/>
  <c r="CT64" i="1"/>
  <c r="CK64" i="1"/>
  <c r="CK63" i="1"/>
  <c r="CT61" i="1"/>
  <c r="CK61" i="1"/>
  <c r="CT59" i="1"/>
  <c r="CK59" i="1"/>
  <c r="CK57" i="1"/>
  <c r="CT57" i="1"/>
  <c r="CT55" i="1"/>
  <c r="CK55" i="1"/>
  <c r="CK53" i="1"/>
  <c r="CT53" i="1"/>
  <c r="CT51" i="1"/>
  <c r="CK51" i="1"/>
  <c r="CK49" i="1"/>
  <c r="CT49" i="1"/>
  <c r="CT47" i="1"/>
  <c r="CK47" i="1"/>
  <c r="CK45" i="1"/>
  <c r="CT45" i="1"/>
  <c r="CK41" i="1"/>
  <c r="CT41" i="1"/>
  <c r="CT39" i="1"/>
  <c r="CK39" i="1"/>
  <c r="CK37" i="1"/>
  <c r="CT37" i="1"/>
  <c r="CT35" i="1"/>
  <c r="CK35" i="1"/>
  <c r="CK33" i="1"/>
  <c r="CT33" i="1"/>
  <c r="CT31" i="1"/>
  <c r="CK31" i="1"/>
  <c r="CK29" i="1"/>
  <c r="CT29" i="1"/>
  <c r="CT27" i="1"/>
  <c r="CK27" i="1"/>
  <c r="CT24" i="1"/>
  <c r="CK24" i="1"/>
  <c r="CT25" i="1"/>
  <c r="CK25" i="1"/>
  <c r="CT22" i="1"/>
  <c r="CK22" i="1"/>
  <c r="CT20" i="1"/>
  <c r="CK20" i="1"/>
  <c r="CT18" i="1"/>
  <c r="CK18" i="1"/>
  <c r="CT16" i="1"/>
  <c r="CK16" i="1"/>
  <c r="CT14" i="1"/>
  <c r="CK14" i="1"/>
  <c r="CT12" i="1"/>
  <c r="CK12" i="1"/>
  <c r="CT10" i="1"/>
  <c r="CK10" i="1"/>
  <c r="CU71" i="1"/>
  <c r="CM71" i="1"/>
  <c r="CL71" i="1"/>
  <c r="CU67" i="1"/>
  <c r="CM67" i="1"/>
  <c r="CL67" i="1"/>
  <c r="CS68" i="1"/>
  <c r="CS66" i="1"/>
  <c r="CU63" i="1"/>
  <c r="CM63" i="1"/>
  <c r="CL63" i="1"/>
  <c r="CS64" i="1"/>
  <c r="CU59" i="1"/>
  <c r="CM59" i="1"/>
  <c r="CL59" i="1"/>
  <c r="CU57" i="1"/>
  <c r="CM57" i="1"/>
  <c r="CL57" i="1"/>
  <c r="CU55" i="1"/>
  <c r="CM55" i="1"/>
  <c r="CL55" i="1"/>
  <c r="CU53" i="1"/>
  <c r="CM53" i="1"/>
  <c r="CL53" i="1"/>
  <c r="CS54" i="1"/>
  <c r="CU51" i="1"/>
  <c r="CM51" i="1"/>
  <c r="CL51" i="1"/>
  <c r="CS52" i="1"/>
  <c r="CU49" i="1"/>
  <c r="CM49" i="1"/>
  <c r="CL49" i="1"/>
  <c r="CS50" i="1"/>
  <c r="CU47" i="1"/>
  <c r="CM47" i="1"/>
  <c r="CL47" i="1"/>
  <c r="CS48" i="1"/>
  <c r="CU45" i="1"/>
  <c r="CM45" i="1"/>
  <c r="CL45" i="1"/>
  <c r="CS46" i="1"/>
  <c r="CU41" i="1"/>
  <c r="CM41" i="1"/>
  <c r="CL41" i="1"/>
  <c r="CS42" i="1"/>
  <c r="CU39" i="1"/>
  <c r="CM39" i="1"/>
  <c r="CL39" i="1"/>
  <c r="CS40" i="1"/>
  <c r="CU37" i="1"/>
  <c r="CM37" i="1"/>
  <c r="CL37" i="1"/>
  <c r="CS38" i="1"/>
  <c r="CU35" i="1"/>
  <c r="CM35" i="1"/>
  <c r="CL35" i="1"/>
  <c r="CS36" i="1"/>
  <c r="CU33" i="1"/>
  <c r="CM33" i="1"/>
  <c r="CL33" i="1"/>
  <c r="CU31" i="1"/>
  <c r="CM31" i="1"/>
  <c r="CL31" i="1"/>
  <c r="CS32" i="1"/>
  <c r="CU29" i="1"/>
  <c r="CM29" i="1"/>
  <c r="CL29" i="1"/>
  <c r="CS30" i="1"/>
  <c r="CQ29" i="1" s="1"/>
  <c r="CU27" i="1"/>
  <c r="CM27" i="1"/>
  <c r="CL27" i="1"/>
  <c r="CS28" i="1"/>
  <c r="CM24" i="1"/>
  <c r="CU24" i="1"/>
  <c r="CL24" i="1"/>
  <c r="CM25" i="1"/>
  <c r="CU25" i="1"/>
  <c r="CL25" i="1"/>
  <c r="CS25" i="1"/>
  <c r="CQ25" i="1" s="1"/>
  <c r="CU22" i="1"/>
  <c r="CM22" i="1"/>
  <c r="CL22" i="1"/>
  <c r="CS23" i="1"/>
  <c r="CQ23" i="1" s="1"/>
  <c r="CU20" i="1"/>
  <c r="CM20" i="1"/>
  <c r="CL20" i="1"/>
  <c r="CS21" i="1"/>
  <c r="CU18" i="1"/>
  <c r="CM18" i="1"/>
  <c r="CL18" i="1"/>
  <c r="CS19" i="1"/>
  <c r="CM16" i="1"/>
  <c r="CU16" i="1"/>
  <c r="CL16" i="1"/>
  <c r="CU14" i="1"/>
  <c r="CM14" i="1"/>
  <c r="CL14" i="1"/>
  <c r="CS15" i="1"/>
  <c r="CU12" i="1"/>
  <c r="CM12" i="1"/>
  <c r="CL12" i="1"/>
  <c r="CS13" i="1"/>
  <c r="CU10" i="1"/>
  <c r="CM10" i="1"/>
  <c r="CL10" i="1"/>
  <c r="CS11" i="1"/>
  <c r="CT71" i="1"/>
  <c r="CK71" i="1"/>
  <c r="CT69" i="1"/>
  <c r="CK69" i="1"/>
  <c r="CT67" i="1"/>
  <c r="CK67" i="1"/>
  <c r="CT65" i="1"/>
  <c r="CK65" i="1"/>
  <c r="CK62" i="1"/>
  <c r="CT62" i="1"/>
  <c r="CT60" i="1"/>
  <c r="CK60" i="1"/>
  <c r="CT58" i="1"/>
  <c r="CK58" i="1"/>
  <c r="CT56" i="1"/>
  <c r="CK56" i="1"/>
  <c r="CT54" i="1"/>
  <c r="CK54" i="1"/>
  <c r="CT50" i="1"/>
  <c r="CK50" i="1"/>
  <c r="CT48" i="1"/>
  <c r="CK48" i="1"/>
  <c r="CT46" i="1"/>
  <c r="CK46" i="1"/>
  <c r="CT44" i="1"/>
  <c r="CK44" i="1"/>
  <c r="CT42" i="1"/>
  <c r="CK42" i="1"/>
  <c r="CT40" i="1"/>
  <c r="CK40" i="1"/>
  <c r="CT38" i="1"/>
  <c r="CK38" i="1"/>
  <c r="CT36" i="1"/>
  <c r="CK36" i="1"/>
  <c r="CT34" i="1"/>
  <c r="CK34" i="1"/>
  <c r="CT32" i="1"/>
  <c r="CK32" i="1"/>
  <c r="CT30" i="1"/>
  <c r="CK30" i="1"/>
  <c r="CT28" i="1"/>
  <c r="CK28" i="1"/>
  <c r="CT26" i="1"/>
  <c r="CK26" i="1"/>
  <c r="CT23" i="1"/>
  <c r="CK23" i="1"/>
  <c r="CK21" i="1"/>
  <c r="CT21" i="1"/>
  <c r="CT19" i="1"/>
  <c r="CK19" i="1"/>
  <c r="CK17" i="1"/>
  <c r="CT17" i="1"/>
  <c r="CT15" i="1"/>
  <c r="CK15" i="1"/>
  <c r="CK13" i="1"/>
  <c r="CT13" i="1"/>
  <c r="CT11" i="1"/>
  <c r="CK11" i="1"/>
  <c r="CK9" i="1"/>
  <c r="CT9" i="1"/>
  <c r="CV8" i="1"/>
  <c r="CJ9" i="1"/>
  <c r="CR26" i="1"/>
  <c r="CR37" i="1"/>
  <c r="CR29" i="1"/>
  <c r="CR68" i="1"/>
  <c r="CR24" i="1"/>
  <c r="CR28" i="1"/>
  <c r="CR67" i="1"/>
  <c r="CR23" i="1"/>
  <c r="CR31" i="1"/>
  <c r="CR66" i="1"/>
  <c r="CQ24" i="1"/>
  <c r="CR27" i="1"/>
  <c r="CR30" i="1"/>
  <c r="CR39" i="1"/>
  <c r="CR38" i="1"/>
  <c r="CR25" i="1"/>
  <c r="CM70" i="1"/>
  <c r="CL56" i="1"/>
  <c r="CM34" i="1"/>
  <c r="CM61" i="1"/>
  <c r="CS69" i="1"/>
  <c r="CU62" i="1"/>
  <c r="Z43" i="1"/>
  <c r="CR43" i="1"/>
  <c r="CU43" i="1"/>
  <c r="CR16" i="1"/>
  <c r="CS59" i="1"/>
  <c r="AA40" i="1"/>
  <c r="CJ8" i="1"/>
  <c r="W40" i="1"/>
  <c r="CV48" i="1"/>
  <c r="CV44" i="1"/>
  <c r="CV16" i="1"/>
  <c r="CV12" i="1"/>
  <c r="CV60" i="1"/>
  <c r="CV39" i="1"/>
  <c r="CV20" i="1"/>
  <c r="CV41" i="1"/>
  <c r="CV33" i="1"/>
  <c r="CV37" i="1"/>
  <c r="CV46" i="1"/>
  <c r="CV21" i="1"/>
  <c r="CV27" i="1"/>
  <c r="CV55" i="1"/>
  <c r="CV38" i="1"/>
  <c r="CV10" i="1"/>
  <c r="CV47" i="1"/>
  <c r="CV23" i="1"/>
  <c r="CV59" i="1"/>
  <c r="CV11" i="1"/>
  <c r="CV51" i="1"/>
  <c r="CV31" i="1"/>
  <c r="CV26" i="1"/>
  <c r="CV53" i="1"/>
  <c r="CV57" i="1"/>
  <c r="CV50" i="1"/>
  <c r="CV42" i="1"/>
  <c r="CV35" i="1"/>
  <c r="CV30" i="1"/>
  <c r="CV15" i="1"/>
  <c r="CV29" i="1"/>
  <c r="CV14" i="1"/>
  <c r="CV67" i="1"/>
  <c r="CV36" i="1"/>
  <c r="CV32" i="1"/>
  <c r="CV28" i="1"/>
  <c r="CV24" i="1"/>
  <c r="CV71" i="1"/>
  <c r="CV66" i="1"/>
  <c r="CV13" i="1"/>
  <c r="CV18" i="1"/>
  <c r="CV58" i="1"/>
  <c r="CV54" i="1"/>
  <c r="CV49" i="1"/>
  <c r="CV45" i="1"/>
  <c r="CV22" i="1"/>
  <c r="CV68" i="1"/>
  <c r="CV9" i="1"/>
  <c r="CV19" i="1"/>
  <c r="CV63" i="1"/>
  <c r="CM58" i="1" l="1"/>
  <c r="CM56" i="1"/>
  <c r="CQ31" i="1"/>
  <c r="CQ66" i="1"/>
  <c r="CQ28" i="1"/>
  <c r="CR49" i="1"/>
  <c r="CR32" i="1"/>
  <c r="CR22" i="1"/>
  <c r="CR50" i="1"/>
  <c r="CR48" i="1"/>
  <c r="CR41" i="1"/>
  <c r="CS71" i="1"/>
  <c r="CL69" i="1"/>
  <c r="CQ38" i="1"/>
  <c r="CR18" i="1"/>
  <c r="CR12" i="1"/>
  <c r="CR19" i="1"/>
  <c r="CR45" i="1"/>
  <c r="CR35" i="1"/>
  <c r="CS9" i="1"/>
  <c r="CQ67" i="1"/>
  <c r="CU69" i="1"/>
  <c r="CR20" i="1"/>
  <c r="CR9" i="1"/>
  <c r="CR11" i="1"/>
  <c r="CS17" i="1"/>
  <c r="CR65" i="1"/>
  <c r="CR57" i="1"/>
  <c r="CR60" i="1"/>
  <c r="CR10" i="1"/>
  <c r="CP27" i="1"/>
  <c r="CP29" i="1"/>
  <c r="CP30" i="1"/>
  <c r="CP28" i="1"/>
  <c r="CP31" i="1"/>
  <c r="CP26" i="1"/>
  <c r="CL43" i="1"/>
  <c r="CM65" i="1"/>
  <c r="CL17" i="1"/>
  <c r="CU17" i="1"/>
  <c r="CL62" i="1"/>
  <c r="CS58" i="1"/>
  <c r="CS43" i="1"/>
  <c r="CR62" i="1"/>
  <c r="CV69" i="1"/>
  <c r="CR69" i="1"/>
  <c r="CR61" i="1"/>
  <c r="CS34" i="1"/>
  <c r="CR70" i="1"/>
  <c r="CP25" i="1"/>
  <c r="CP24" i="1"/>
  <c r="CO24" i="1"/>
  <c r="CO25" i="1"/>
  <c r="CR63" i="1"/>
  <c r="CP23" i="1"/>
  <c r="CR13" i="1"/>
  <c r="CQ27" i="1"/>
  <c r="CS33" i="1"/>
  <c r="CR8" i="1"/>
  <c r="CR58" i="1"/>
  <c r="CR17" i="1"/>
  <c r="CS62" i="1"/>
  <c r="CS61" i="1"/>
  <c r="CR34" i="1"/>
  <c r="CS56" i="1"/>
  <c r="CQ56" i="1" s="1"/>
  <c r="CS65" i="1"/>
  <c r="CS70" i="1"/>
  <c r="CQ46" i="1" s="1"/>
  <c r="CR42" i="1"/>
  <c r="CR53" i="1"/>
  <c r="CR36" i="1"/>
  <c r="CR33" i="1"/>
  <c r="CR51" i="1"/>
  <c r="CR40" i="1"/>
  <c r="CO23" i="1"/>
  <c r="CQ68" i="1"/>
  <c r="CQ39" i="1"/>
  <c r="CR46" i="1"/>
  <c r="CR14" i="1"/>
  <c r="CQ26" i="1"/>
  <c r="CR59" i="1"/>
  <c r="CR54" i="1"/>
  <c r="CR15" i="1"/>
  <c r="CR44" i="1"/>
  <c r="CR21" i="1"/>
  <c r="CR64" i="1"/>
  <c r="CR47" i="1"/>
  <c r="CR71" i="1"/>
  <c r="CQ37" i="1"/>
  <c r="CS44" i="1"/>
  <c r="CM43" i="1"/>
  <c r="CS60" i="1"/>
  <c r="CL61" i="1"/>
  <c r="CU61" i="1"/>
  <c r="CL65" i="1"/>
  <c r="CU65" i="1"/>
  <c r="CM69" i="1"/>
  <c r="CS16" i="1"/>
  <c r="CS18" i="1"/>
  <c r="CM17" i="1"/>
  <c r="CL34" i="1"/>
  <c r="CU34" i="1"/>
  <c r="CS45" i="1"/>
  <c r="CU56" i="1"/>
  <c r="CL58" i="1"/>
  <c r="CU58" i="1"/>
  <c r="CM62" i="1"/>
  <c r="CL70" i="1"/>
  <c r="CU70" i="1"/>
  <c r="CV61" i="1"/>
  <c r="CM8" i="1"/>
  <c r="CT8" i="1"/>
  <c r="CV62" i="1"/>
  <c r="CV65" i="1"/>
  <c r="CV34" i="1"/>
  <c r="CV17" i="1"/>
  <c r="CK8" i="1"/>
  <c r="CV52" i="1"/>
  <c r="CV43" i="1"/>
  <c r="CV40" i="1"/>
  <c r="CU8" i="1"/>
  <c r="CL8" i="1"/>
  <c r="CS8" i="1"/>
  <c r="CQ9" i="1" s="1"/>
  <c r="CV70" i="1"/>
  <c r="CQ42" i="1" l="1"/>
  <c r="CQ32" i="1"/>
  <c r="CQ62" i="1"/>
  <c r="CR55" i="1"/>
  <c r="CR56" i="1"/>
  <c r="CR52" i="1"/>
  <c r="CQ53" i="1"/>
  <c r="CQ69" i="1"/>
  <c r="CQ35" i="1"/>
  <c r="CQ43" i="1"/>
  <c r="CP33" i="1"/>
  <c r="CQ70" i="1"/>
  <c r="CQ58" i="1"/>
  <c r="CO31" i="1"/>
  <c r="CO27" i="1"/>
  <c r="CO29" i="1"/>
  <c r="CO30" i="1"/>
  <c r="CO26" i="1"/>
  <c r="CP48" i="1"/>
  <c r="CQ65" i="1"/>
  <c r="CQ61" i="1"/>
  <c r="CP21" i="1"/>
  <c r="CP18" i="1"/>
  <c r="CP22" i="1"/>
  <c r="CP17" i="1"/>
  <c r="CP16" i="1"/>
  <c r="CP19" i="1"/>
  <c r="CP20" i="1"/>
  <c r="CP32" i="1"/>
  <c r="CP39" i="1"/>
  <c r="CP38" i="1"/>
  <c r="CP37" i="1"/>
  <c r="CQ48" i="1"/>
  <c r="CQ50" i="1"/>
  <c r="CQ44" i="1"/>
  <c r="CQ49" i="1"/>
  <c r="CQ33" i="1"/>
  <c r="CP9" i="1"/>
  <c r="CQ47" i="1"/>
  <c r="CQ11" i="1"/>
  <c r="CQ15" i="1"/>
  <c r="CQ10" i="1"/>
  <c r="CQ13" i="1"/>
  <c r="CQ14" i="1"/>
  <c r="CQ12" i="1"/>
  <c r="CP43" i="1"/>
  <c r="CK43" i="1"/>
  <c r="CT43" i="1"/>
  <c r="CJ52" i="1"/>
  <c r="CT52" i="1"/>
  <c r="CK52" i="1"/>
  <c r="CQ17" i="1"/>
  <c r="CQ21" i="1"/>
  <c r="CQ16" i="1"/>
  <c r="CQ20" i="1"/>
  <c r="CQ19" i="1"/>
  <c r="CQ22" i="1"/>
  <c r="CQ18" i="1"/>
  <c r="CQ41" i="1"/>
  <c r="CQ45" i="1"/>
  <c r="CQ51" i="1"/>
  <c r="CQ40" i="1"/>
  <c r="CQ54" i="1"/>
  <c r="CQ57" i="1"/>
  <c r="CQ52" i="1"/>
  <c r="CQ55" i="1"/>
  <c r="CP13" i="1"/>
  <c r="CP12" i="1"/>
  <c r="CP15" i="1"/>
  <c r="CP11" i="1"/>
  <c r="CP14" i="1"/>
  <c r="CP10" i="1"/>
  <c r="CO28" i="1"/>
  <c r="CP34" i="1"/>
  <c r="CP36" i="1"/>
  <c r="CP35" i="1"/>
  <c r="CQ34" i="1"/>
  <c r="CO36" i="1" s="1"/>
  <c r="CQ59" i="1"/>
  <c r="CQ64" i="1"/>
  <c r="CQ60" i="1"/>
  <c r="CQ71" i="1"/>
  <c r="CP8" i="1"/>
  <c r="CQ8" i="1"/>
  <c r="CP57" i="1" l="1"/>
  <c r="CP67" i="1"/>
  <c r="CP56" i="1"/>
  <c r="CP44" i="1"/>
  <c r="CP70" i="1"/>
  <c r="CP40" i="1"/>
  <c r="CP60" i="1"/>
  <c r="CP53" i="1"/>
  <c r="CP65" i="1"/>
  <c r="CP45" i="1"/>
  <c r="CP51" i="1"/>
  <c r="CP62" i="1"/>
  <c r="CP41" i="1"/>
  <c r="CP52" i="1"/>
  <c r="CP58" i="1"/>
  <c r="CP66" i="1"/>
  <c r="CP50" i="1"/>
  <c r="CP55" i="1"/>
  <c r="CP61" i="1"/>
  <c r="CP68" i="1"/>
  <c r="CP42" i="1"/>
  <c r="CP71" i="1"/>
  <c r="CP49" i="1"/>
  <c r="CP54" i="1"/>
  <c r="CP59" i="1"/>
  <c r="CP64" i="1"/>
  <c r="CP69" i="1"/>
  <c r="CO43" i="1"/>
  <c r="CO39" i="1"/>
  <c r="CO20" i="1"/>
  <c r="CO17" i="1"/>
  <c r="CO22" i="1"/>
  <c r="CO16" i="1"/>
  <c r="CO21" i="1"/>
  <c r="CO19" i="1"/>
  <c r="CO18" i="1"/>
  <c r="CO38" i="1"/>
  <c r="CO37" i="1"/>
  <c r="CO33" i="1"/>
  <c r="CO40" i="1"/>
  <c r="CO71" i="1"/>
  <c r="CO45" i="1"/>
  <c r="CO42" i="1"/>
  <c r="CO70" i="1"/>
  <c r="CO68" i="1"/>
  <c r="CO65" i="1"/>
  <c r="CO61" i="1"/>
  <c r="CO57" i="1"/>
  <c r="CO55" i="1"/>
  <c r="CO53" i="1"/>
  <c r="CO44" i="1"/>
  <c r="CO69" i="1"/>
  <c r="CO67" i="1"/>
  <c r="CO64" i="1"/>
  <c r="CO62" i="1"/>
  <c r="CO59" i="1"/>
  <c r="CO56" i="1"/>
  <c r="CO54" i="1"/>
  <c r="CO51" i="1"/>
  <c r="CO49" i="1"/>
  <c r="CO48" i="1"/>
  <c r="CO41" i="1"/>
  <c r="CO66" i="1"/>
  <c r="CO60" i="1"/>
  <c r="CO58" i="1"/>
  <c r="CO52" i="1"/>
  <c r="CO32" i="1"/>
  <c r="CO35" i="1"/>
  <c r="CO34" i="1"/>
  <c r="CO50" i="1"/>
  <c r="CO10" i="1"/>
  <c r="CO14" i="1"/>
  <c r="CO12" i="1"/>
  <c r="CO15" i="1"/>
  <c r="CO11" i="1"/>
  <c r="CO9" i="1"/>
  <c r="CO13" i="1"/>
  <c r="CO8" i="1"/>
</calcChain>
</file>

<file path=xl/sharedStrings.xml><?xml version="1.0" encoding="utf-8"?>
<sst xmlns="http://schemas.openxmlformats.org/spreadsheetml/2006/main" count="1847" uniqueCount="632">
  <si>
    <t>Seguimiento al Plan Estratégico Sectorial del Interior - 2019-2022</t>
  </si>
  <si>
    <t>Semáforo de avance</t>
  </si>
  <si>
    <t>Rojo</t>
  </si>
  <si>
    <t>Amarillo</t>
  </si>
  <si>
    <r>
      <rPr>
        <b/>
        <sz val="11"/>
        <color theme="1"/>
        <rFont val="Calibri"/>
        <family val="2"/>
        <scheme val="minor"/>
      </rPr>
      <t xml:space="preserve">Fuente: </t>
    </r>
    <r>
      <rPr>
        <sz val="11"/>
        <color theme="1"/>
        <rFont val="Calibri"/>
        <family val="2"/>
        <scheme val="minor"/>
      </rPr>
      <t xml:space="preserve">Oficina Asesora de Planeación, </t>
    </r>
    <r>
      <rPr>
        <b/>
        <sz val="11"/>
        <color theme="1"/>
        <rFont val="Calibri"/>
        <family val="2"/>
        <scheme val="minor"/>
      </rPr>
      <t>Datos:</t>
    </r>
    <r>
      <rPr>
        <sz val="11"/>
        <color theme="1"/>
        <rFont val="Calibri"/>
        <family val="2"/>
        <scheme val="minor"/>
      </rPr>
      <t xml:space="preserve"> Entidades del sector Interior</t>
    </r>
  </si>
  <si>
    <t>Verde</t>
  </si>
  <si>
    <t>Azul</t>
  </si>
  <si>
    <t>Entidades</t>
  </si>
  <si>
    <t>Producto</t>
  </si>
  <si>
    <t>Gestión</t>
  </si>
  <si>
    <t>Ministerio del Interior</t>
  </si>
  <si>
    <t>Corporación Nasa Kiwe</t>
  </si>
  <si>
    <t>Dirección Nacional de Bomberos</t>
  </si>
  <si>
    <t>Dirección Nacional de Derechos de Autor</t>
  </si>
  <si>
    <t>Imprenta Nacional de Colombia</t>
  </si>
  <si>
    <t>Unidad Nacional de Protección</t>
  </si>
  <si>
    <t>Sector Interior</t>
  </si>
  <si>
    <t>Objetivos estratégicos Sectoriales</t>
  </si>
  <si>
    <t>Total</t>
  </si>
  <si>
    <t>1. Garantizar la seguridad jurídica y la efectiva divulgación normativa de las ramas del poder público</t>
  </si>
  <si>
    <t>2. Propiciar la seguridad y convivencia ciudadana, el orden público, así como la atención y control en situaciones que vulneren o amenacen a la población</t>
  </si>
  <si>
    <t>3. Fortalecer la articulación entre la Nación y el territorio, promoviendo la gobernabilidad, la democracia, el respeto por la libertad de cultos, la participación social, política y comunitaria</t>
  </si>
  <si>
    <t>4. Promover y proteger los derechos humanos, especialmente la vida, la libertad, la seguridad, así como los derechos de autor y conexos, fundamentados en la cultura de legalidad y emprendimiento</t>
  </si>
  <si>
    <t>5. Fortalecer el diálogo social e intercultural Estado – Comunidades, garantizando el derecho fundamental a la consulta previa y promoviendo estrategias que contribuyan a la equidad y el desarrollo de los pueblos indígenas, Rrom; y comunidades Negras, Afrocolombianas, Raizales y Palenqueras</t>
  </si>
  <si>
    <t>6. Fortalecer la gestión y desempeño del Sector Interior</t>
  </si>
  <si>
    <t>RESPONSABLE:</t>
  </si>
  <si>
    <t>VIGENCIA:</t>
  </si>
  <si>
    <t>Responsables</t>
  </si>
  <si>
    <t>Articulación Estratégica</t>
  </si>
  <si>
    <t>SEGUIMIENTO PRIORIDAD</t>
  </si>
  <si>
    <t xml:space="preserve">Iniciativa </t>
  </si>
  <si>
    <t>SEGUIMIENTO INICIATIVA</t>
  </si>
  <si>
    <t xml:space="preserve">Medidas correctivas </t>
  </si>
  <si>
    <t>Entidad</t>
  </si>
  <si>
    <t>Servidor Público</t>
  </si>
  <si>
    <t>Pacto Plan Nacional de Desarrollo (PND)</t>
  </si>
  <si>
    <t>Relacionado con los Objetivos de Desarrollo Sostenible (ODS)</t>
  </si>
  <si>
    <t>Relacionado con Objetivo Zonas Fututo (ZF)</t>
  </si>
  <si>
    <t xml:space="preserve">Objetivo Estratégico Sectorial </t>
  </si>
  <si>
    <t>Indicador Prioridad Estratégica Sectorial</t>
  </si>
  <si>
    <t>Fórmula de cálculo</t>
  </si>
  <si>
    <t>Tipo</t>
  </si>
  <si>
    <t>Tipo de Acumulación</t>
  </si>
  <si>
    <t>Línea base</t>
  </si>
  <si>
    <t>Unidad de medida</t>
  </si>
  <si>
    <t>AVANCE CUANTITATIVO</t>
  </si>
  <si>
    <t>Nombre Iniciativa por entidad</t>
  </si>
  <si>
    <t xml:space="preserve">Indicador de la iniciativa </t>
  </si>
  <si>
    <t>Fecha de Inicio de la iniciativa</t>
  </si>
  <si>
    <t>Fecha de terminación de la iniciativa</t>
  </si>
  <si>
    <t xml:space="preserve">Metas de la Iniciativa </t>
  </si>
  <si>
    <t xml:space="preserve"> PRESUPUESTO APROPIADO</t>
  </si>
  <si>
    <t>PRESUPUESTO COMPROMETIDO</t>
  </si>
  <si>
    <t>PRESUPUESTO OBLIGADO</t>
  </si>
  <si>
    <t>% COMPROMETIDO</t>
  </si>
  <si>
    <t>% EJECUCIÓN</t>
  </si>
  <si>
    <t>Fecha reporte</t>
  </si>
  <si>
    <t>Nombre de Prioridad estratégica sectorial</t>
  </si>
  <si>
    <t>Tipo indicador Prioridad</t>
  </si>
  <si>
    <t>Tipo indicador Iniciativa</t>
  </si>
  <si>
    <t>Avance ponderado del Objetivo respecto a Entidad (Sumatoria de ponderados % del Objetivo) H</t>
  </si>
  <si>
    <t>Avance ponderado de la Prioridad respecto a Objetivo (Sumatoria de ponderados % de las Prioridades) K</t>
  </si>
  <si>
    <t>Avance ponderado de la Iniciativa respecto a Prioridad (Sumatoria de ponderados % de las Iniciativas) Z</t>
  </si>
  <si>
    <t>Avance entidad</t>
  </si>
  <si>
    <t>Avance Objetivo</t>
  </si>
  <si>
    <t>Avance Prioridad</t>
  </si>
  <si>
    <t>Avance iniciativa</t>
  </si>
  <si>
    <t xml:space="preserve">DIFICULTADES </t>
  </si>
  <si>
    <t xml:space="preserve">No aplica </t>
  </si>
  <si>
    <t>CONPES 3667 DE 2010</t>
  </si>
  <si>
    <t xml:space="preserve">Resultado </t>
  </si>
  <si>
    <t>Acumulado</t>
  </si>
  <si>
    <t xml:space="preserve">Número </t>
  </si>
  <si>
    <t>Sumatoria de espacios de diálogo para comunidades indígenas realizados</t>
  </si>
  <si>
    <t>Sumatoria cabildos indígenas asistidos</t>
  </si>
  <si>
    <t>Resultado</t>
  </si>
  <si>
    <t xml:space="preserve">Producto </t>
  </si>
  <si>
    <t xml:space="preserve">Porcentaje </t>
  </si>
  <si>
    <t>Proyectos de inversión formulados</t>
  </si>
  <si>
    <t>Sumatoria de seguimientos mensuales realizados en el aplicativo SPI-DNP</t>
  </si>
  <si>
    <t>DECRETO 1179 DE 1994</t>
  </si>
  <si>
    <t xml:space="preserve">Gestión </t>
  </si>
  <si>
    <t>Charles Benavides Castillo
(Director Dirección Nacional de Bomberos)</t>
  </si>
  <si>
    <t>IV. Pacto por la sostenibilidad: producir conservando y conservar produciendo</t>
  </si>
  <si>
    <t>ODS 11. Ciudades y comunidades sostenibles</t>
  </si>
  <si>
    <t>Cuerpos de Bomberos fortalecidos a nivel nacional</t>
  </si>
  <si>
    <t>No. De Organismos de atención de emergencias fortalecidos</t>
  </si>
  <si>
    <t>No. De Cuerpos de Bomberos con fortalecimiento recibido</t>
  </si>
  <si>
    <t>Flujo</t>
  </si>
  <si>
    <t>Cuerpos de Bomberos capacitados y entrenados en plataformas especializadas</t>
  </si>
  <si>
    <t>No. De cuerpos de bomberos con reentrenamiento recibido</t>
  </si>
  <si>
    <t xml:space="preserve"> No. De Cuerpos de Bomberos con seguimiento en la vigencia</t>
  </si>
  <si>
    <t>No. De Cuerpos de Bomberos con plan de mejora formulado</t>
  </si>
  <si>
    <t>No. De Cuerpos de Bomberos capacitados en RUE</t>
  </si>
  <si>
    <t>No. De cuerpos de bomberos asistidos por la DNBC</t>
  </si>
  <si>
    <t>X. Pacto por la protección y promoción de nuestra cultura y desarrollo de la economía naranja</t>
  </si>
  <si>
    <t>ODS 8. Trabajo decente y crecimiento económico</t>
  </si>
  <si>
    <t>Sumatoria del número de personas capacitadas en Derecho de Autor y Derechos Conexos</t>
  </si>
  <si>
    <t>Número de personas capacitadas en Derecho de Autor y Derechos Conexos</t>
  </si>
  <si>
    <t>Sumatoria del número de personas capacitadas en Derecho de Autor y Derechos Conexos.</t>
  </si>
  <si>
    <t>Suma de registros de derecho de autor inscritos en cada año del cuatrienio</t>
  </si>
  <si>
    <t>N/A</t>
  </si>
  <si>
    <t>I. Pacto por la legalidad: seguridad efectiva y justicia transparente para que todos vivamos con libertad y en democracia</t>
  </si>
  <si>
    <t>ODS 17. Alianzas para lograr los objetivos</t>
  </si>
  <si>
    <t>Mantenimiento</t>
  </si>
  <si>
    <t>Cobertura del Diario Oficial (1200 entidades públicas)</t>
  </si>
  <si>
    <t>XV. Pacto por una gestión pública efectiva</t>
  </si>
  <si>
    <t>No Aplica</t>
  </si>
  <si>
    <t>C.256 Programa integral de seguridad y protección para comunidades, líderes, dirigentes, representantes y activistas de organizaciones sociales, populares, étnicas, de mujeres y de género, implementado</t>
  </si>
  <si>
    <t>ODS 16. Paz, justicia e instituciones sólidas</t>
  </si>
  <si>
    <t>Días hábiles promedio que toma el estudio de riesgo para la implementación de medidas de protección.</t>
  </si>
  <si>
    <t xml:space="preserve">Sumatoria de días hábiles utilizados para la realización de los estudios de evaluación del riesgo / Número de estudios de evaluaciones de riesgos realizadas </t>
  </si>
  <si>
    <t>Reducción</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</si>
  <si>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</si>
  <si>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</si>
  <si>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Porcentaje de municipios con diagnósticos focalizados de riesgo, proyección de escenarios de riesgo, y planes de prevención y contingencia apoyados técnicamente por la UNP.</t>
  </si>
  <si>
    <t>Número de municipios con diagnóstico focalizados de riesgo, proyección de escenarios de riesgo o planes de prevención y contingencia apoyados técnicamente por la UNP.</t>
  </si>
  <si>
    <t>V. Pacto por la Ciencia, la Tecnología y la Innovación: un sistema para construir el conocimiento de la Colombia del futuro</t>
  </si>
  <si>
    <t xml:space="preserve"> Índice de Gestión y Desempeño Institucional según el aplicativo FURAG (Formulario Único de Reporte de Avance a la Gestión).</t>
  </si>
  <si>
    <t>Número de Sistemas de Gestión certificados.</t>
  </si>
  <si>
    <t>Porcentaje de iniciativas estratégicas implementadas para el cumplimiento de los compromisos del plan nacional de desarrollo capitulo étnico.</t>
  </si>
  <si>
    <t xml:space="preserve">Porcentaje de seguimiento y monitoreo de las políticas, planes, programas y proyectos que beneficien a las comunidades NARP.
</t>
  </si>
  <si>
    <t>Porcentaje de alertas tempranas atendidas por la CIPRAT de conformidad con el Decreto 2124 de 2017</t>
  </si>
  <si>
    <t>Propuestas normativas elaboradas</t>
  </si>
  <si>
    <t xml:space="preserve">Sumatoria de propuestas normativas elaboradas </t>
  </si>
  <si>
    <t>(Número de requisitos implementados / Número de requisitos programados)*100</t>
  </si>
  <si>
    <t>73.4%</t>
  </si>
  <si>
    <t>Porcentaje de procesos actualizados</t>
  </si>
  <si>
    <t>(Número de órdenes judiciales cumplidas/ número de ordenes judiciales con vinculación de la DAIRM)* 100</t>
  </si>
  <si>
    <t xml:space="preserve">Porcentaje de adecuación institucional de la DAIRM realizada </t>
  </si>
  <si>
    <t>2. Fortalecer el Estado Social de Derecho</t>
  </si>
  <si>
    <t>No aplica</t>
  </si>
  <si>
    <t>XII. Pacto por la equidad de oportunidades para grupos: indígenas, negros, afros, raizales, palenqueros y Rrom</t>
  </si>
  <si>
    <t>XVI. Pacto por la descentralización: conectar territorios, gobiernos y poblaciones</t>
  </si>
  <si>
    <t>CONPES 3944 de 2018</t>
  </si>
  <si>
    <t>Porcentaje de implementación del Plan de Acción Oportuna</t>
  </si>
  <si>
    <t>Porcentaje de cumplimiento a las órdenes judiciales que sean vinculantes para la DAIRM</t>
  </si>
  <si>
    <t>Relacionado con el Sistema de Paz y Estabilización (PMI)</t>
  </si>
  <si>
    <t>Objetivo Estratégico Sectorial</t>
  </si>
  <si>
    <t>Sumatoria de proyectos de inversión formulados</t>
  </si>
  <si>
    <t>Cuerpos de bomberos capacitados y entrenados en el uso y apropiación del Registro Único Nacional de Estadísticas de Bomberos - RUE</t>
  </si>
  <si>
    <t>Ley 109 de 1994</t>
  </si>
  <si>
    <t>Porcentaje de avance en la implementación de la política pública</t>
  </si>
  <si>
    <t>Porcentaje de Proyectos aprobados</t>
  </si>
  <si>
    <t>Hilda Gutiérrez
(Dirección de Democracia, participación ciudadana y acción comunal)</t>
  </si>
  <si>
    <t>Seguimiento al Plan de Estratégico Sectorial 2019-2022 - Sector Interior</t>
  </si>
  <si>
    <t>Total Cuatrienio</t>
  </si>
  <si>
    <t>(Número de acciones realizadas para el cumplimiento de los compromisos del plan nacional de desarrollo capitulo étnico / Número de acciones programados para el cumplimiento de los compromisos del plan nacional de desarrollo capitulo étnico)*100</t>
  </si>
  <si>
    <t>(Consejos comunitarios y/o expresiones organizativas de las comunidades NARP apoyados técnicamente y jurídicamente en los procesos organizativos, de gobernabilidad y conocimiento de sus derechos individuales y colectivos / Consejos comunitarios y/o expresiones organizativas de las comunidades NARP que solicitaron apoyo técnico y jurídico en los procesos organizativos, de gobernabilidad y conocimiento de sus derechos individuales y colectivos)*100</t>
  </si>
  <si>
    <t>(Número de Promociones de los derechos fundamentales de las comunidades NARP realizadas / Número de promociones de los derechos fundamentales de las comunidades NARP programadas)*100</t>
  </si>
  <si>
    <t>(Número de Alertas tempranas y Alertas Tempranas de inminencia abordadas / Número de Alertas Tempranas y Alertas Tempranas de inminencia allegados por la Defensoría del Pueblo)*100</t>
  </si>
  <si>
    <t>(Número de actividades implementadas /Número de actividades planeadas)*100</t>
  </si>
  <si>
    <t>Porcentaje de implementación del Modelo Integrado de Planeación y Gestión – MIPG e el cual será medido a través del Formulario Único Reporte Avance a la Gestión - FURAG</t>
  </si>
  <si>
    <t>Porcentaje de implementación de las estrategias para promover mejores condiciones en los territorios indígenas</t>
  </si>
  <si>
    <t>(Número de estrategias implementadas / Número de estrategias programadas)*100</t>
  </si>
  <si>
    <t xml:space="preserve">(Número de Procesos mejorados/ Número Procesos proyectados.)*100 </t>
  </si>
  <si>
    <t xml:space="preserve">Porcentaje de consejos comunitarios y/o expresiones organizativas de las comunidades negras, afrocolombianas, raizales y palenqueras apoyados técnicamente y jurídicamente en los procesos organizativos, de gobernabilidad y conocimiento de sus derechos individuales y colectivos.
</t>
  </si>
  <si>
    <t>(Número de acciones realizadas para el fortalecimiento institucional a las dinámicas sociales, económicas, educativas, políticas, ambientales y culturales, para beneficios de las comunidades NARP / Número de acciones programados para el fortalecimiento institucional a las dinámicas sociales, económicas, educativas, políticas, ambientales y culturales, para beneficios de las comunidades NARP)*100</t>
  </si>
  <si>
    <t>(Seguimiento y monitoreo realizado de las políticas, planes, programas y proyectos que beneficien a las comunidades NARP / Seguimiento y monitoreo programado de las políticas, planes, programas y proyectos que beneficien a las comunidades NARP)*100</t>
  </si>
  <si>
    <t>Porcentaje de promoción de los derechos fundamentales de las comunidades NARP velando por el reconocimiento, integridad y desarrollo de su diversidad étnica y cultural</t>
  </si>
  <si>
    <t>Porcentaje de implementación de las actividades establecidas por proyecto de inversión de Seguridad y Convivencia Ciudadana</t>
  </si>
  <si>
    <t>Número</t>
  </si>
  <si>
    <t>Porcentaje</t>
  </si>
  <si>
    <t xml:space="preserve"> (Número de procesos actualizados/Número de procesos programados a actualizar)*100</t>
  </si>
  <si>
    <t>(Número de mecanismos realizados/Número de mecanismos publicados en la página WEB)*100</t>
  </si>
  <si>
    <t>(Número de actividades implementadas / Número de actividades planeadas)*100</t>
  </si>
  <si>
    <t>(Número de reuniones técnicas con el equipo del Plan de Acción Oportuna (Min Interior) a las que asiste la UNP/Número de Reuniones Técnicas con el equipo del Plan de Acción Oportuna (Min Interior) a las que se convoca a la UNP)*100</t>
  </si>
  <si>
    <t>FECHA DEL PLAN: 01/01/2020</t>
  </si>
  <si>
    <t>Seguimientos realizados del proyecto de inversión en aplicativo SPI-DNP</t>
  </si>
  <si>
    <t>Propuestas normativas de ajuste a las funciones de la Corporación Nasa Kiwe aprobadas</t>
  </si>
  <si>
    <t>Cuerpos de bomberos fortalecidos con equipamientos especializado para la atención de emergencias</t>
  </si>
  <si>
    <t>Porcentaje de apoyos técnicos y operativos gestionados a los cuerpos de bomberos</t>
  </si>
  <si>
    <t>Programas de capacitación en derecho autor y conexos realizados de forma presencial y virtual</t>
  </si>
  <si>
    <t>Sector Interior representado en el Comité Nacional de Mejora Normativa</t>
  </si>
  <si>
    <t>Diario oficial modernizado</t>
  </si>
  <si>
    <t>Procesos del sector Interior fortalecidos</t>
  </si>
  <si>
    <t>Oferta institucional del sector Interior promovida</t>
  </si>
  <si>
    <t>Soluciones digitales y documentales diseñadas</t>
  </si>
  <si>
    <t>Porcentaje de ejecución del proyecto de reingeniería de la Unidad Nacional de Protección</t>
  </si>
  <si>
    <t>Porcentaje de reuniones técnicas realizadas con el equipo del Plan de Acción Oportuna (Min Interior) a las que asiste la Unidad Nacional de Protección</t>
  </si>
  <si>
    <t>Municipios con diagnóstico focalizados de riesgo, proyección de escenarios de riesgo o planes de prevención y contingencia apoyados técnicamente por la Unidad Nacional de Protección</t>
  </si>
  <si>
    <t>Porcentaje de acciones cumplidas en el marco del CONPES 3667 de 2010</t>
  </si>
  <si>
    <t>Porcentaje de implementación de la política pública bomberil</t>
  </si>
  <si>
    <t>Informes realizados para apoyar la mejora normativa del país</t>
  </si>
  <si>
    <t>Porcentaje de implementación de estrategias digitales y documentales</t>
  </si>
  <si>
    <t>Porcentaje de trámites administrativos realizados para la reforma de la planta de personal de la Dirección Nacional de Derechos de Autor</t>
  </si>
  <si>
    <t>Sistemas de Gestión certificados.</t>
  </si>
  <si>
    <t>Porcentaje de cursos de Autoprotección realizados a colectivos con enfoque étnico</t>
  </si>
  <si>
    <t>Alfonso Rafael Campo
(Director Unidad Nacional de Protección)</t>
  </si>
  <si>
    <t>Porcentaje de avance del plan de implementación del Modelo Integrado de Planeación y Gestión</t>
  </si>
  <si>
    <t>Porcentaje de cumplimiento de los objetivos planteados en los sistemas que componen el Modelo Integrado de Planeación y Gestión - SIG</t>
  </si>
  <si>
    <t>Libro sobre Derechos Humanos publicado</t>
  </si>
  <si>
    <t xml:space="preserve">Cabildos indígenas con asistencia en la incorporación del riesgo en los Planes de Vida </t>
  </si>
  <si>
    <t>Porcentaje de cumplimiento de las metas establecidas en el POAI del proyecto de inversión</t>
  </si>
  <si>
    <t>Porcentaje de proyectos aprobados en el aplicativo del Banco de Proyectos de la entidad para la implementación de mecanismos</t>
  </si>
  <si>
    <t>(Número de proyectos aprobados / Número de proyectos formulados por la oficina de planeación CNK)*100</t>
  </si>
  <si>
    <t>Sumatoria del número de propuesta normativas aprobadas</t>
  </si>
  <si>
    <t>Cuerpos de Bomberos con seguimiento y verificación plan de mejora formulado</t>
  </si>
  <si>
    <t xml:space="preserve">
Cuerpos de Bomberos asesorados y acompañados en la implementación de políticas y reglamentos bomberiles</t>
  </si>
  <si>
    <t>No. De Cuerpos de Bomberos asesorados y acompañados</t>
  </si>
  <si>
    <t xml:space="preserve">Cuerpos de bomberos con soporte técnico, jurídico, administrativo y operativo brindado por la DNBC
</t>
  </si>
  <si>
    <t xml:space="preserve">Porcentaje de Seguimientos realizados a los diferentes objetivos, metas y compromisos del Ministerio del Interior. </t>
  </si>
  <si>
    <t>(Número de seguimientos realizados/ Número de Seguimientos programados)*100</t>
  </si>
  <si>
    <t>Sumatoria de número resguardos indígenas beneficiados</t>
  </si>
  <si>
    <t>Sumatoria del número de documento aprobado con las funciones de la CNK ampliadas</t>
  </si>
  <si>
    <t>(Número de acciones cumplidas en el marco del CONPES 3667 de 2010 / Número de acciones definidas en el marco del CONPES 3667 de 2010)*100</t>
  </si>
  <si>
    <t>(Número trámites administrativos realizados para la reforma de la planta de personal de la Dirección Nacional de Derechos de Autor / trámites administrativos programados para la reforma de la planta de personal de la Dirección Nacional de Derechos de Autor)*100</t>
  </si>
  <si>
    <t>(Número de actividades realizadas para la implementación de la política pública / Número de actividades planeadas para la implementación de la política pública)*100</t>
  </si>
  <si>
    <t>(Sumatoria de las actividades ejecutadas para la implementación del PAO / Sumatoria de las actividades programadas para la implementación del PAO) * 100%</t>
  </si>
  <si>
    <t>Sumatoria del número de representaciones del sector Interior en el Comité Nacional de Mejora Normativa</t>
  </si>
  <si>
    <t>Sumatoria del número de modernizaciones del Diario oficial</t>
  </si>
  <si>
    <t>Sumatoria del número de promociones de la oferta del sector Interior</t>
  </si>
  <si>
    <t>Sumatoria del número de libros publicados sobre Derechos Humanos</t>
  </si>
  <si>
    <t>Sumatoria del número de soluciones digitales y documentales diseñadas</t>
  </si>
  <si>
    <t>Porcentaje de iniciativas estratégicas implementadas para el cumplimiento de los compromisos del Plan Nacional de Desarrollo capitulo étnico</t>
  </si>
  <si>
    <t>(Número de estrategias implementadas para el cumplimiento de los compromisos del Plan Nacional de Desarrollo capitulo étnico / Número de estrategias programadas para el cumplimiento de los compromisos del Plan Nacional de Desarrollo capitulo étnico)*100</t>
  </si>
  <si>
    <t>Espacios de diálogo con pueblos indígenas promovidos</t>
  </si>
  <si>
    <t>(No. De apoyos técnicos requeridos para la atención de emergencias/No. De apoyos gestionados para la atención de emergencias)*100</t>
  </si>
  <si>
    <t xml:space="preserve">Porcentaje de implementación de las medias de protección Colectiva (Ruta de Protección Colectiva) </t>
  </si>
  <si>
    <t>Silvia Juliana Corzo Villamizar
(Dirección de Gobierno y Gestión Territorial)</t>
  </si>
  <si>
    <t>Judith Rosina Salazar Andrade
(Dirección de Asuntos para comunidades Negras, Afrocolombianas, Raizales y Palenqueras)</t>
  </si>
  <si>
    <t>María Paola Suárez Morales
(Dirección de Asuntos legislativos)</t>
  </si>
  <si>
    <t>Ley 1575 de 2012</t>
  </si>
  <si>
    <t>Relación Política Pública (Ley, Doc. Conpes, Decreto, Otro)</t>
  </si>
  <si>
    <t>Unidad de  implementación del Modelo Integrado de Planeación y Gestión – MIPG la cual será medido a través del Formulario Único Reporte Avance a la Gestión -  FURAG</t>
  </si>
  <si>
    <t>Número de  resultado FURAG</t>
  </si>
  <si>
    <t>Carolina Romero Romero
(Directora Dirección Nacional de Derechos de Autor)</t>
  </si>
  <si>
    <t>Jhon Diego Parra Tobar
(Director Corporación Nasa Kiwe)</t>
  </si>
  <si>
    <t>Felipe José Valencia Bitar
(Dirección Autoridad Nacional de Consulta Previa)</t>
  </si>
  <si>
    <t>Porcentaje de avance en el fortalecimiento del proceso de consulta previa.</t>
  </si>
  <si>
    <t>Promedio ponderado del cumplimiento de las iniciativas necesarias para fortalecer el proceso de Consulta Previa.</t>
  </si>
  <si>
    <t>Porcentaje de comunidades protocolizadas en un término de 6 meses o menos</t>
  </si>
  <si>
    <t>(Número de comunidades étnicas protocolizadas en un término de 6 meses o menos / Número de comunidades étnicas protocolizadas) x 100%</t>
  </si>
  <si>
    <t xml:space="preserve">Tiempo promedio de expedición del acto administrativo que determina la procedencia o no de la consulta previa y que requiere de visita de verificación </t>
  </si>
  <si>
    <t>(Sumatoria del número de días hábiles que toma la expedición del acto administrativo que determina la procedencia o no de la consulta previa con visita / Sumatoria del número de actos administrativos expedidos)</t>
  </si>
  <si>
    <t>Porcentaje de avance del fortalecimiento del marco legal de la consulta previa.</t>
  </si>
  <si>
    <t>(Número de actividades realizadas para el fortalecimiento del marco legal / Número de actividades programadas para el fortalecimiento del marco legal)*100</t>
  </si>
  <si>
    <t>Pacto por la legalidad: seguridad efectiva y justicia transparente para que todos vivamos con libertad y en democracia</t>
  </si>
  <si>
    <t>CONPES 3955 del 2018. Estrategia para el fortalecimiento de la acción comunal en Colombia</t>
  </si>
  <si>
    <t>Organizaciones de Acción Comunal con proyectos  aprobados</t>
  </si>
  <si>
    <t>Sumatoria del número de organizaciones de Acción Comunal con proyectos  aprobados</t>
  </si>
  <si>
    <t>Organizaciones de Acción Comunal y entidades de Inspección Control y Vigilancia Asistidas técnicamente.</t>
  </si>
  <si>
    <t>Sumatoria del número de Organizaciones de Acción Comunal y entidades de Inspección Control y Vigilancia Asistidas técnicamente</t>
  </si>
  <si>
    <t xml:space="preserve">(Número de sesiones realizadas/número de sesiones programadas)*100% </t>
  </si>
  <si>
    <t xml:space="preserve">(Número de eventos de reconocimiento realizados/número de eventos de reconocimiento programados)*100% </t>
  </si>
  <si>
    <t>Número de Alertas tempranas y Alertas Tempranas de inminencia abordadas / Número de Alertas Tempranas y Alertas Tempranas de inminencia allegados por la Defensoría del Pueblo</t>
  </si>
  <si>
    <t>(Número de actividades realizadas para la Implementación del Sistema Nacional de Resolución de Conflictividad Social (SNRC). / Número de actividades planeadas para la Implementación del Sistema Nacional de Resolución de Conflictividad Social (SNRC).)*100</t>
  </si>
  <si>
    <t>Meta cuatrienio</t>
  </si>
  <si>
    <t>1. Garantizar la seguridad jurídica y la efectiva divulgación normativa de las ramas del poder público.</t>
  </si>
  <si>
    <t>2. Propiciar la seguridad y convivencia ciudadana, el orden público, así como la atención y control en situaciones que vulneren o amenacen a la población.</t>
  </si>
  <si>
    <t>3. Fortalecer la articulación entre la Nación y el territorio, promoviendo la gobernabilidad, la democracia, el respeto por la libertad de cultos, la participación social, política y comunitaria.</t>
  </si>
  <si>
    <t>4. Promover y proteger los derechos humanos, especialmente la vida, la libertad, la seguridad, así como los derechos de autor y conexos, fundamentados en la cultura de legalidad y emprendimiento.</t>
  </si>
  <si>
    <t>5. Fortalecer el diálogo social e intercultural Estado – Comunidades, garantizando el derecho fundamental a la consulta previa y promoviendo estrategias que contribuyan a la equidad y el desarrollo de los pueblos indígenas, ROM; y comunidades Negras, Afrocolombianas, Raizales y Palenqueras.</t>
  </si>
  <si>
    <t>6. Fortalecer la Gestión y desempeño del Sector Interior.</t>
  </si>
  <si>
    <t>1. Contribuir al desarrollo de los pueblos indígenas en los resguardos de la zona de influencia mediante la implementación de políticas públicas</t>
  </si>
  <si>
    <t>2. Disminuir las condiciones de riesgo por flujo de lodo existentes para población en el Cañón del río Páez</t>
  </si>
  <si>
    <t>3. Ampliar el alcance de las funciones de la Corporación Nasa Kiwe</t>
  </si>
  <si>
    <t>1. Fortalecer la capacidad de respuesta de los cuerpos de bomberos ante situaciones de emergencias</t>
  </si>
  <si>
    <t>3. Implementar la política pública bomberil</t>
  </si>
  <si>
    <t>1. Personas capacitadas en Derecho de Autor y Derechos Conexos.</t>
  </si>
  <si>
    <t>3. Porcentaje de ejecución de la reforma de planta de personal de la Dirección Nacional de Derechos de Autor</t>
  </si>
  <si>
    <t>1. Apoyar la mejora normativa del país a través del observatorio Nacional de mejora normativa</t>
  </si>
  <si>
    <t>2. Garantizar el principio constitucional de publicidad de las normas y así contribuir a la seguridad jurídica del estado</t>
  </si>
  <si>
    <t>3. Fortalecer la comunicación del sector interior en temas relacionados con la prevención y protección de los derechos humanos, asuntos étnicos, democracia, seguridad ciudadana, convivencia y seguridad</t>
  </si>
  <si>
    <t>4. Promover la modernización digital y documental de las entidades del sector interior</t>
  </si>
  <si>
    <t>1. Reducir el tiempo de respuesta promedio entre la aprobación y la implementación de medidas de protección en la ruta individual para defensores y defensoras de Derechos Humanos y otras poblaciones previstas en el del Decreto 1066 de 2015.</t>
  </si>
  <si>
    <t>2. Liderar la actualización y adecuación de las medidas de prevención y protección con enfoque diferencial con énfasis en la protección colectiva y mecanismos de autoprotección.</t>
  </si>
  <si>
    <t>3. Incorporar el análisis de contexto como mecanismo para la identificación anticipada o temprana de las amenazas, riesgos y vulnerabilidades de las poblaciones objeto.</t>
  </si>
  <si>
    <t>4. Liderar el desarrollo del Modelo Integrado de Planeación y Gestión (MIPG).</t>
  </si>
  <si>
    <t>1. Fortalecer el proceso de Consulta previa  en el país, garantizando de manera  oportuna y eficiente la atención  de los trámites de consulta previa.</t>
  </si>
  <si>
    <t>2.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t>
  </si>
  <si>
    <t>1.1 Espacios de diálogo promovidos con pueblos indígenas para la formulación e implementación de proyectos de interés regional.</t>
  </si>
  <si>
    <t xml:space="preserve">1.2 Acciones implementadas definidas en el CONPES 3667 de 2010 </t>
  </si>
  <si>
    <t xml:space="preserve">2.1 Acciones implementadas definidas en el CONPES 3667 de 2010 </t>
  </si>
  <si>
    <t>2.2 Proyectos de inversión para el desarrollo de los pueblos indígenas formulados.</t>
  </si>
  <si>
    <t>2.3 Presentación, ejecución y seguimiento de proyectos.</t>
  </si>
  <si>
    <t>2.4 Mecanismos implementados para el seguimiento y cumplimiento de compromisos.</t>
  </si>
  <si>
    <t>3.1 Funciones de la Corporación Nasa Kiwe ajustadas</t>
  </si>
  <si>
    <t>1.1 Fortalecer a los Cuerpos de Bomberos con equipamiento especializado para la atención de emergencias.</t>
  </si>
  <si>
    <t>1.2 Coordinar y apoyar técnica y operativamente a los cuerpos de bomberos en la atención de emergencias.</t>
  </si>
  <si>
    <t>1.3 Apoyar la capacitación y entrenamiento de las unidades bomberiles</t>
  </si>
  <si>
    <t>2.1 Adelantar labores de Inspección, vigilancia y Control sobre los Cuerpos de Bomberos del País.</t>
  </si>
  <si>
    <t>2.2 Apoyar el funcionamiento y sostenibilidad del Registro Único Nacional de Estadísticas de Bomberos.</t>
  </si>
  <si>
    <t>3.1 Asesorar y acompañar a los cuerpos de bomberos en la implementación de políticas y reglamentos en materia bomberil.</t>
  </si>
  <si>
    <t>3.2 Brindar el soporte técnico, jurídico, administrativo y operativo requerido por los cuerpos de bomberos del país.</t>
  </si>
  <si>
    <t>1.1 Realización de programa de capacitación en derecho autor y conexos de forma presencial y virtual.</t>
  </si>
  <si>
    <t xml:space="preserve">2.1 Prestación del servicio de registro de obras, fonogramas, actos y contratos, de forma física y virtual. </t>
  </si>
  <si>
    <t>1.1 Representar al sector interior en el Comité Nacional de Mejora Normativa para aportar a la seguridad jurídica y competitividad del país</t>
  </si>
  <si>
    <t>2.1 Modernizar el Diario Oficial a través de su transformación digital para garantizar su difusión en todo el territorio nacional.</t>
  </si>
  <si>
    <t>2.2 Fortalecer los procesos del sector del interior mediante su difusión en el Diario Oficial.</t>
  </si>
  <si>
    <t>3.1 Poner la capacidad de la INC al servicio de las entidades para que a partir de publicaciones conjuntas y piezas de comunicación se promueva la oferta institucional del sector interior</t>
  </si>
  <si>
    <t xml:space="preserve">3.2 Hacer una publicación conjunta de un libro sobre Derechos Humanos en el marco del Bicentenario </t>
  </si>
  <si>
    <t>4..1 Diseñar para las entidades del sector interior soluciones digitales y documentales</t>
  </si>
  <si>
    <t>1.1 Ejecutar el proyecto de Reingeniería basado en el mejoramiento y fortalecimiento del proceso de evaluación de riesgo con énfasis en las siguientes actividades: - Optimización de procedimientos del proceso de evaluación de riesgo; - Cualificación y asignación efectiva del Talento Humano que realiza funciones de análisis de riesgo.</t>
  </si>
  <si>
    <t>2.1 fortalecimiento e implementación de la ruta de protección colectiva.</t>
  </si>
  <si>
    <t>2.2 Promover cursos como mecanismo de participación a los grupos y comunidades para la construcción de medidas de protección con enfoque diferencial.</t>
  </si>
  <si>
    <t>3.1 Reuniones técnicas con el equipo del Plan de Acción Oportuna (Min Interior) para coordinar metodologías de priorización.</t>
  </si>
  <si>
    <t>3.3 Fortalecimiento de las capacidades de recolección y procesamiento de información cualitativa y cuantitativa de los municipios priorizados.</t>
  </si>
  <si>
    <t>4.1 La entidad viene dando cumplimiento a la implementación de las políticas de gestión de Modelo Integrado de Planeación y Gestión</t>
  </si>
  <si>
    <t>4.2 Fortalecimiento de las capacidades en Modelo Integrado de Planeación y Gestión  en la entidad.</t>
  </si>
  <si>
    <t>5.1 Fortalecimiento de las capacidades en temas de Sistemas de Gestión en la entidad.</t>
  </si>
  <si>
    <t>1.1 Aumentar los procesos consultivos protocolizados en un término de 6 meses.</t>
  </si>
  <si>
    <t>1.2 Disminuir los tiempos de respuesta para la expedición de los actos administrativos que requieren visita de verificación.</t>
  </si>
  <si>
    <t>1.3 Fortalecer el marco legal de la consulta previa</t>
  </si>
  <si>
    <t xml:space="preserve">2.1 Implementar el 100% de las iniciativas estratégicas para el cumplimiento de los compromisos del Plan Nacional de Desarrollo capitulo étnico. </t>
  </si>
  <si>
    <t>2.2 Promover en los territorios indígenas mejores condiciones de prosperidad, habilitación de capacidades y cohesión comunitaria.</t>
  </si>
  <si>
    <t xml:space="preserve">2.3 Dar cumplimiento al 100% de las órdenes judiciales a cargo de la Dirección de Asuntos Indígenas Rom y Minorías. </t>
  </si>
  <si>
    <t>(No. De Cuerpos de bomberos asistidos técnica y administrativamente / Total de Cuerpos de bomberos programados)*100</t>
  </si>
  <si>
    <t>Prioridad Estratégica Sectorial</t>
  </si>
  <si>
    <t>Porcentaje del número de procesos del sector Interior fortalecidos</t>
  </si>
  <si>
    <t xml:space="preserve">(Número de Procesos mejorados/  Número Procesos proyectados.)*100 </t>
  </si>
  <si>
    <t>3.1 Fortalecer la capacidad Institucional por medio de la adecuación organizativa de la Dirección, la gestión del conocimiento e innovación y el uso de nuevas tecnologías, en el marco de la cultura de la transparencia, la legalidad y la gestión pública efectiva.</t>
  </si>
  <si>
    <t>4.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 Comunidades</t>
  </si>
  <si>
    <t>5. Implementar al 100% la Política pública nacional para el diálogo social e intercultural y la resolución pacífica de los conflictos sociales.</t>
  </si>
  <si>
    <t>6. Implementación de las actividades establecidas por proyecto de inversión de Seguridad y Convivencia Ciudadana</t>
  </si>
  <si>
    <t>7. Atender y hacer seguimiento al 100% de las alertas emitidas por la Defensoría del Pueblo  a la Secretaría Técnica de la  Comisión Intersectorial para la Atención de Alertas Tempranas – CIPRAT</t>
  </si>
  <si>
    <t>9. Impulsar acuerdos entre el gobierno y los partidos políticos que permitan construir una mayor capacidad de gestión legislativa en el Congreso.</t>
  </si>
  <si>
    <t>10. Tramitar los proyectos anticorrupción a fin de mantener el tema en la agenda pública</t>
  </si>
  <si>
    <t>11. Implementar políticas públicas y estrategias de articulación entre el Gobierno Nacional y las entidades territoriales orientadas a su fortalecimiento y modernización</t>
  </si>
  <si>
    <t>12. Implementación del Plan de Acción Oportuna</t>
  </si>
  <si>
    <t>13. Implementar el modelo integrado de planeación y gestión MIPG2.</t>
  </si>
  <si>
    <t xml:space="preserve">4.1 Implementar el 100% de las iniciativas estratégicas para el cumplimiento de los compromisos del Plan Nacional de Desarrollo capitulo étnico. </t>
  </si>
  <si>
    <t>4.2 Fortalecer al 100% la articulación interinstitucional para el mejoramiento de la gestión y desarrollo propio de los consejos comunitarios y las diferentes formas y expresiones organizativas de la población NARP</t>
  </si>
  <si>
    <t xml:space="preserve">4.3 Apoyar técnicamente al 100% los consejos comunitarios y/o expresiones organizativas de las comunidades negras, afrocolombianas, raizales y palenqueras en los procesos organizativos, de gobernabilidad y conocimiento de sus derechos individuales y colectivos. </t>
  </si>
  <si>
    <t>4.4 Fortalecer el 100% de los espacios de participación y dialogo de instancias representativas de las comunidades negras, afrocolombianas, raizales y palenqueras</t>
  </si>
  <si>
    <t>4.5 Realizar el 100% de las acciones para el cumplimiento de las ordenes emanadas de las sentencias, Autos y demás órdenes judiciales, en el marco de la violación de los derechos fundamentales y constitucionales de las comunidades negras, afrocolombianas, raizales y Palenqueras.</t>
  </si>
  <si>
    <t>8.1 Realizar convocatoria del banco de acciones comunales y apertura de la nueva línea FONSECON para proyectos de seguridad y convivencia con Organizaciones de Acción Comunal - OAC.</t>
  </si>
  <si>
    <t>8.2 Realizar asistencia técnica y jurídica en el marco normativo comunal a las Organizaciones de Acción Comunal y a las entidades de Inspección, Control y Vigilancia delegadas en territorio</t>
  </si>
  <si>
    <t>9.1 Alcanzar un acuerdo programático que permita asegurar el apoyo de los partidos a los proyectos de Ley.</t>
  </si>
  <si>
    <t>9.2 Articular acciones con todo el gabinete.</t>
  </si>
  <si>
    <t>10.1 Priorizar las iniciativas del gobierno para ser socializadas con los diversos partidos, de manera previa a su discusión en el Congreso para que sean abanderadas por estos.</t>
  </si>
  <si>
    <t>11.1 Elaborar propuestas para actualizar el marco legal y normativo de la descentralización política y administrativa</t>
  </si>
  <si>
    <t>11.2 Implementar un mecanismo de relacionamiento con autoridades territoriales y sus organizaciones.</t>
  </si>
  <si>
    <t xml:space="preserve">12.1 Adelantar la Secretaría Técnica de la Comisión Intersectorial para el desarrollo del PAO. </t>
  </si>
  <si>
    <t>12.2 Apoyar a las entidades territoriales en la formulación y seguimiento a la implementación del protocolo de protección para territorios rurales (Ruta única de actuación territorial)</t>
  </si>
  <si>
    <t>12.3 Implementar campaña de activación social de reconocimiento a la labor de defensa de los Derechos Humanos</t>
  </si>
  <si>
    <t>13.1 Mejoramiento de los resultados FURAG</t>
  </si>
  <si>
    <t>13.2 Asegurar el seguimiento a los objetivos, metas y compromisos contemplados en los diferentes instrumentos de planeación sectorial e institucional con el fin de contribuir al impacto eficiente de la gestión de la entidad.</t>
  </si>
  <si>
    <t>13.3 Fortalecimiento del sistema integrado de gestión en el marco de la política y simplificación de procesos.</t>
  </si>
  <si>
    <t>Número de entidades con cobertura del Diario Oficial</t>
  </si>
  <si>
    <t>2. Fortalecer el registro de obras actos y contratos</t>
  </si>
  <si>
    <t>3. Fortalecer la capacidad Institucional promoviendo el talento humano, la participación ciudadana, la gestión del conocimiento e innovación y el uso de nuevas tecnologías, en el marco de la cultura de la transparencia, la legalidad y la gestión pública efectiva</t>
  </si>
  <si>
    <t>5. Certificar la entidad en cuatro Normas Internacionales:- ISO 9001: Gestión de Calidad; - 14001: Gestión Medioambiental; - 27001: Seguridad de la Información; - 45001: Gestión de la Seguridad y Salud en el Trabajo.</t>
  </si>
  <si>
    <t>Número de resguardos Indígenas beneficiados</t>
  </si>
  <si>
    <t>Número de documentos con funciones de la Corporación Nasa Kiwe ampliadas</t>
  </si>
  <si>
    <t>Registros de obras, fonogramas, actos y contratos emitidos de forma física y virtual en el cuatrienio</t>
  </si>
  <si>
    <t>Porcentaje de proyectos implementados x Comunidades Negras</t>
  </si>
  <si>
    <t>Porcentaje de actividades implementadas</t>
  </si>
  <si>
    <t>Porcentaje de Proyectos aprobados en la legislatura</t>
  </si>
  <si>
    <t xml:space="preserve">Porcentaje de Implementación del mecanismo de relacionamiento </t>
  </si>
  <si>
    <t xml:space="preserve">Porcentaje de Informes de acciones de fortalecimiento institucional a las dinámicas sociales, económicas, educativas, políticas, ambientales y culturales, para beneficios de las comunidades NARP. </t>
  </si>
  <si>
    <t>Porcentaje de avance del elaboración del protocolo de diálogo social e intercultural</t>
  </si>
  <si>
    <t>Porcentaje de cumplimiento del Sistema Nacional de Resolución de Conflictividad Social (SNRC).</t>
  </si>
  <si>
    <t xml:space="preserve">No de reuniones programas con partidos políticos, ponentes y aliados estratégicos / No de reuniones realizadas </t>
  </si>
  <si>
    <t xml:space="preserve">Porcentaje de estrategias desarrolladas para la aprobación de consensos con el Congreso de la Republica </t>
  </si>
  <si>
    <t xml:space="preserve">No de reuniones programadas con los enlaces legislativos del Gobierno Nacional   / No de reuniones realizadas </t>
  </si>
  <si>
    <t>Porcentaje de articulación de acciones con todo el gabinete.</t>
  </si>
  <si>
    <t>No de proyectos Radicados / No Proyectos socializados</t>
  </si>
  <si>
    <t>Porcentaje de proyectos socializadas</t>
  </si>
  <si>
    <t xml:space="preserve">Porcentaje de implementación del mecanismo de relacionamiento </t>
  </si>
  <si>
    <t xml:space="preserve">Porcentaje de eventos de reconocimiento de la labor de defensa de los derechos humanos </t>
  </si>
  <si>
    <t>Socializaciones y/o acompañamientos técnicos a entidades territoriales y Esquemas asociativos en la implementación del marco normativo de la descentralización política y administrativa.</t>
  </si>
  <si>
    <t>Número de socializaciones y/o acompañamientos técnicos realizados/Número de socializaciones y/o acompañamientos técnicos solicitados y/o programados</t>
  </si>
  <si>
    <t>11.3 Elaborar, socializar y brindar acompañamiento técnico a entidades territoriales y Esquemas asociativos en la implementación del marco normativo de la descentralización política y administrativa.</t>
  </si>
  <si>
    <t>(Número de requerimientos atendidos  / Número total de requerimientos realizados)x 100</t>
  </si>
  <si>
    <t>2.5 Avance Matriz PAS de las acciones a cargo de la Corporación Nasa Kiwe</t>
  </si>
  <si>
    <t>Porcentaje de avance de acciones a cargo de la Corporación en el aplicativo Sis Conpes 2.0</t>
  </si>
  <si>
    <t>Según avance e importancia relativa del aplicativo Sis Conpes DNP</t>
  </si>
  <si>
    <t>Número de estrategias de promoción del sector interior</t>
  </si>
  <si>
    <t>2.Verificar las capacidades de operatividad de los Cuerpos de Bomberos de Colombia</t>
  </si>
  <si>
    <t>Servicio de seguimiento a Cuerpos de Bomberos de Colombia</t>
  </si>
  <si>
    <t>Metas de la Prioridad</t>
  </si>
  <si>
    <t>I trim 2020</t>
  </si>
  <si>
    <t>II trim 2020</t>
  </si>
  <si>
    <t>III trim 2020</t>
  </si>
  <si>
    <t>1. Fortalecer a las organizaciones de Acción Comunal en el país, mediante la implementación de proyectos de desarrollo comunitario y la generación de capacidades de gestión y ejecución</t>
  </si>
  <si>
    <t>Organizaciones de acción comunal fortalecidas en su capacidad de gestión e interlocución.</t>
  </si>
  <si>
    <t>Sumatoria del número de organizaciones de acción comunal fortalecidas en su capacidad de gestión e interlocución</t>
  </si>
  <si>
    <t>70;5%</t>
  </si>
  <si>
    <t>% Avance cuatrienio</t>
  </si>
  <si>
    <t>0% - 25%</t>
  </si>
  <si>
    <t>Naranja</t>
  </si>
  <si>
    <t>26% - 50%</t>
  </si>
  <si>
    <t>51%  - 75%</t>
  </si>
  <si>
    <t>76% - 100%</t>
  </si>
  <si>
    <t>No requiere reporte
No se reportó avance
No aplica, no hay meta
Se requiere línea base</t>
  </si>
  <si>
    <t>Avance 2020</t>
  </si>
  <si>
    <t>Avance Cuatrienio</t>
  </si>
  <si>
    <t>Avance prioridad</t>
  </si>
  <si>
    <t>Anual</t>
  </si>
  <si>
    <t>Cuatrienio</t>
  </si>
  <si>
    <t>Anual prioridad</t>
  </si>
  <si>
    <t>Anual iniciativa</t>
  </si>
  <si>
    <t>Cuatrienio iniciativa</t>
  </si>
  <si>
    <t>Promedio de avance de las prioridades</t>
  </si>
  <si>
    <t>Promedio de avance de las iniciativas</t>
  </si>
  <si>
    <t>Promedio de avance de las metas de producto por iniciativa</t>
  </si>
  <si>
    <t>Promedio de avance de las metas de Gestión por iniciativa</t>
  </si>
  <si>
    <t>Avance iniciativas</t>
  </si>
  <si>
    <t>IV trim 2020</t>
  </si>
  <si>
    <t>Daniel Palacios Martínez</t>
  </si>
  <si>
    <t xml:space="preserve">
La Dirección de Asuntos Legislativos, no cuenta con presupuesto, por esta razón las prioridades e iniciativas se ejecutan con el personal de plata y los contratistas de apoyo.</t>
  </si>
  <si>
    <t>Se entiende por proyectos aprobados en el aplicativo del Banco de Proyectos, aquellos que los procesos misionales formulan con base en la cadena de valor del proyecto de inversión, que ha sido aprobado por el "Control Posterior de Viabilidad Técnico "- DNP- en cumplimiento de los compromisos a cargo de la CNK en el CONPES 3667 de 2010</t>
  </si>
  <si>
    <t>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t>
  </si>
  <si>
    <t xml:space="preserve">El presupuesto de la entidad se contempla por rubros presupuestales, por lo tanto no se tiene asignado presupuesto por actividades </t>
  </si>
  <si>
    <t>Resultado del avance de los proyectos implementados para Comunidades Indígenas, ROM y Minorías.</t>
  </si>
  <si>
    <t>Avance 2019</t>
  </si>
  <si>
    <t>Se tiene identificados los cabildos a beneficiar en la vigencia 2021; en la búsqueda de los profesionales idóneos para llevar a cabo las acciones precontractuales que den cumplimiento a la incorporación de riesgo en los planes de vida</t>
  </si>
  <si>
    <t xml:space="preserve">Se llevan a cabo los procesos precontractuales según el Plan de Acción y la programación del Plan Anual de Adquisiciones acorde para la vigencia 2021. 
</t>
  </si>
  <si>
    <t>En articulación con MVCT y el Consejo regional Indígena del Cauca -CRIC-, se adelantó la formulación de un proyecto de inversión, con el cual la Corporación Nasa kiwe realizara la operación de los subsidios de vivienda y mejoramiento de vivienda dando cumplimiento al compromiso del gobierno nacional con las comunidades indígenas organizadas bajo el Consejo regional Indígena del Cauca - CRIC que actualmente está constituido por ciento quince cabildos y once asociaciones de cabildos de los pueblos Nasa, Guambiano, Totoroez, Polindara, entre otros la mayoría ubicado en área de jurisdicción de la CNK, donde se beneficiaran 318 familias con viviendas nuevas y 450 con mejoramientos de viviendas.</t>
  </si>
  <si>
    <t>Seguimiento mensual en los plazos definidos por DNP:
Cierre vigencia 2020: 31 de enero de 2020
Vigencia fiscal 2021: Enero, febrero, marzo de 2021</t>
  </si>
  <si>
    <t>Aún no se da apertura del aplicativo Sis Conpes 2.0 para el corte 2021-I de las 19 acciones que el proyecto “Consolidación de las acciones para la gestión social del riesgo por flujo de lodo (avalancha) en los departamentos del Cauca, Huila” aporta a la implementación de las acciones en el marco del CONPES 3667 de 2010.</t>
  </si>
  <si>
    <t>Existe documento en borrador para gestionar proyecto de Ley, entregado a finales del año 2020, el cuál se encuentra en revisión por parte de Ministerio.  Según las iniciativas por parte del Sr Ministro Daniel Palacios, se trabaja de manera conjunta con la dirección de Asunto Legislativos en  dar ejecuciones a los lineamientos dados.</t>
  </si>
  <si>
    <t>En el primer trimestre se presentan los planes de acción a seguir en la vigencia para la ejecución de las acciones de cada una de las plataformas y programas de entrenamiento y reentrenamiento de las unidades Bomberiles. Paralelamente se avanza en la etapa precontractual de cada uno de  los procesos.</t>
  </si>
  <si>
    <t>1.  Durante el mes de enero de 2021 se fortaleció a 144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febrero de 2021 se fortaleció a 2.346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marzo de 2021 se fortaleció a 2.015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</si>
  <si>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ENE: Se realizaron 991 protocolizaciones de las cuales 746 fueron en menos de 6 meses.
FEB: Se realizaron 1016 protocolizaciones de las cuales 761 fueron en menos de 6 meses.
MAR: Se realizaron 1056 protocolizaciones de las cuales 769 fueron en menos de 6 meses.</t>
  </si>
  <si>
    <t xml:space="preserve">Está iniciativa se ejecutó y reportó en la vigencia 2020. </t>
  </si>
  <si>
    <t xml:space="preserve">Avance trimestre.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 </t>
  </si>
  <si>
    <t>Avance trimestre: Inicio actuaciones administrativas tendientes a la suscripción del convenio que permita la actualización de las piezas comunicativas de la campaña #LidereEsColombia, así como su difusión</t>
  </si>
  <si>
    <t>En el primer trimestre de la vigencia 2021 se realizaron las siguientes acciones para la formulación  de la política pública de gestión de conflictividades sociales a través del diálogo social.
febrero:  Se   trabaja en coordinación con fuerza pública,  en el levantamiento de la información correspondiente a los actores que afectan el orden público a nivel nacional.
Marzo: Definición de la arquitectura institucional que soporta las responsabilidades y competencias institucionales del nivel nacional y local en la política pública de diálogo social.</t>
  </si>
  <si>
    <t>La Dirección de Democracia y Participación envío un borrador del Protocolo de Diálogo para la Población Campesina, La Dirección de Afrocolombianos envío un borrador de su protocolo, las demás áreas no han enviado nada.</t>
  </si>
  <si>
    <t>Se continua trabajando con el borrador  de la política, una vez se cuenta con la Política de Diálogo se articulara la información y compromisos al Sistema Nacional de Conflictividades.</t>
  </si>
  <si>
    <t>Durante el primer trimestre del año se recibieron ocho nuevas Alertas Tempranas así: 
Enero: AT 001-21 CAQ San José de Fagua, Curillo, Solita CAU Piamonte PUT Puerto Guzmán, AT 002-21 AMA Leticia, Puerto Nariño , AT 003-21 VAL Buenaventura.
Febrero: AT 004-21 NSANT EL Carmen, Convención, Teorama, AT 005-21 VIC Puerto Carreño.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
Marzo: AT 006-21 ARA Arauca, AT 007-21 CAU Caloto, AT 008-21 CAS Sácama, La Salina, Támara, Yopal, Aguazul BOY Pajarito, Paya, Pisba.</t>
  </si>
  <si>
    <t>Se establecieron 21 proyectos bandera por el Gobierno Nacional, los cuales ya se encuentran surgiendo trámite en las diferentes comisiones del Congreso de la República, de los cuales 4 tienen mensajes de urgencia y se han realizado las reuniones con partidos, ponentes y aliados estratégicos, con el fin de generar estrategias para su aprobación.</t>
  </si>
  <si>
    <t>Durante el trimestre se realizaron 5 reuniones con los enlaces legislativos del Gobierno Nacional. 
Febrero:1 marzo: 4  En las cuales se establecieron estrategias para el trámite legislativos de los proyectos de Ley de interés e impacto para el Gobierno Nacional.</t>
  </si>
  <si>
    <t xml:space="preserve">Durante el trimestre se radicaron 5 proyectos por las diferentes carteras del Gobierno Nacional
PL 417-21S ICETEX
PL 401-21S/ 560-21C Reglamentación Cadena Perpetua 
PL 413-21S Mercado de capitales
PL 423 21 S Código Disciplinario
PL 400-21S Ley del Deporte
Los cuales fueron socializados.
</t>
  </si>
  <si>
    <t>En el primer trimestre se dieron atención a las 3 audiencias, 1 Habeus Corpus y 31 tutelas allegadas a la DAIRM, para un total de 34 órdenes judiciales atendidas.</t>
  </si>
  <si>
    <t>Se oficializó y ya se publicó en la página del Ministerio del Interior los procedimientos   "Organización de espacios de participación para los pueblos indígenas" y el procedimiento para "Promover la resolución de conflictos de las comunidades indígenas de conformidad con sus usos y costumbres" según los lineamientos del Manual del manejo de la información documentada.</t>
  </si>
  <si>
    <t>I Trimestre: Se realizó asistencia técnica y jurídica en el marco normativo comunal a 69 Organizaciones de Acción Comunal y 102 entidades de Inspección, Control y Vigilancia delegadas en territorio, para un total de 171</t>
  </si>
  <si>
    <t xml:space="preserve">I Trimestre: Se fortalecieron 69 Organizaciones de acción comunal en su capacidad de gestión e interlocución de la siguiente manera: (3) con Visitas de Inspección Control y Vigilancia, (50) con formación en el marco jurídico, (16) con capacitaciones sobre el proceso de elecciones </t>
  </si>
  <si>
    <t>FECHA DE CORTE: 31/03/2021</t>
  </si>
  <si>
    <t>Se adelanto el trámite de "Ajuste a decreto": 1805 de 31 de diciembre de 2020, a fin de dar cumplimiento en el marco del proyecto “Consolidación de las acciones para la gestión social del riesgo por flujo de lodo (avalancha) en los departamentos del Cauca, Huila”  de las acciones en el marco del CONPES 3667 de 2010.  Tramite que se lleva a cabo en el aplicativo SUIFP (Sistema Unificado de Inversión y Finanzas Públicas) del Departamento Nacional de Planeación, el cuál se lleva a cabo con la aprobación de los diferentes filtros tanto de Ministerio del Interior como de la Subdirección técnica de DNP</t>
  </si>
  <si>
    <t>En el primer trimestre de la vigencia 2021 se realizó seguimiento y verificación en sus condiciones de operatividad a 30 Cuerpos de Bomberos</t>
  </si>
  <si>
    <t>El indicador del Grupo de Análisis Estratégico Poblacional -GAEP-, periodo
comprendido entre 01 de enero al 31 de marzo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</si>
  <si>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Durante el trimestre enero - marzo se adelantaron las siguientes actividades preparatorias para el diligenciamiento del FURAG 2020: i) participó en la sesión con el Ministerio del Interior sobre recomendaciones para el diligenciamiento de FURAG, ii) se participó en las sesiones virtuales con el DAFP sobre dudas e inquietudes en el diligenciamiento del FURAG 2020 dados los cambios en la plataforma de reporte, iii)  se efectúo sensibilización al equipo de enlaces MIPG-SIG en relación con el diligenciamiento de FURAG 2020 considerando las evidencias de la implementación de las recomendaciones del FURAG 2019, iv)  Se planificaron las sesiones de retroalimentación del diligenciamiento de FURAG 2020.</t>
  </si>
  <si>
    <t>En el primer trimestre de 2021 la UNP fue convocada a dos reuniones de tipo técnicas con el equipo del Plan de Acción Oportuna, de la siguiente manera: Una reunión se adelantó el 22 de febrero en la Sala Estratégica de la Policía Nacional para hacer seguimiento al componente operativo del PAO; la otra reunión se adelantó el 16 de marzo de manera virtual, para hacer seguimiento al componente operativo del PAO.</t>
  </si>
  <si>
    <t xml:space="preserve">Del informe del primer trimestre de 2021 se cumplieron las actividades que se tenían organizadas.
Para el segundo trimestre de 2021 se desarrollará un cronograma detallado de las actividades a desarrollar entre las que se encuentran lo referente a la preparación de los procesos para las auditorías internas, mesas de trabajo de sensibilización sobre la nueva versión del Instructivo para la elaboración de documentos del SIG, el procedimiento de servicio o producto no conforme, actualización de los mapas de riesgo de acuerdo con la nueva metodología del DAFP, información referente a el Modelo Integrado de Planeación y Gestión, manejo de los archivos de gestión en coordinación con el Grupo de Gestión Documental. </t>
  </si>
  <si>
    <t xml:space="preserve">En el período se evaluaron dos de ocho objetivos transversales, a través de 2 indicadores en el período evaluado. Adicionalmente, se evaluaron 2 objetivos del Sistema de Gestión de Calidad, 1 objetivo del Sistema de Gestión Ambiental, 3 objetivos del Sistema de Gestión de Seguridad de la Información y 3 objetivos del Sistema de Gestión de Seguridad y Salud en el Trabajo. Para el total de los 11 objetivos evaluados se tuvo un cumplimiento promedio de 95.45% </t>
  </si>
  <si>
    <t>Para el 31 de marzo de 2021 se han realizado todas las actividades requeridas para el fortalecimiento del proceso de consulta previa.</t>
  </si>
  <si>
    <t>ENE: Se emitieron 75 actos administrativos de los cuales 2 requirieron  visita con promedio de 88 días hábiles
FEB: Se emitieron 66   AA  de los cuales  2 requirieron visita con promedio acumulado de 78 días hábiles
MAR: Se emitieron 130 AA de los cuales  1 requirió visita con promedio acumulado de 87,6 días hábiles.</t>
  </si>
  <si>
    <t>Avance trimestre: i) Desarrollo primera sesión 2021 Comisión Intersectorial para el Desarrollo del Plan de Acción Oportuna (PAO) con participación del Señor Presidente de la República; ii)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t>
  </si>
  <si>
    <t xml:space="preserve">Se dio cumplimiento al 100% de lo programado en el I trimestre respecto a las actividades asociadas a la iniciativa, realizando los respectivos seguimientos a las metas y compromisos del Ministerio. </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</si>
  <si>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</si>
  <si>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realizaron 59 asesorías desde el proceso de formulación normativa en temáticas bomberiles, se brindó asistencia técnica a 104 Cuerpos de Bomberos en temas de educación nacional para bomberos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</si>
  <si>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 Avance 2021</t>
  </si>
  <si>
    <t>Se han capacitado 15 cuerpos de bomberos de manera virtual en el sistema Registro Único de Estadísticas - RUE</t>
  </si>
  <si>
    <t>Número de registros emitidos en el cuatrienio</t>
  </si>
  <si>
    <t>Liderar la implementación del 100% de la política pública de gestión de conflictividades a través del diálogo social.</t>
  </si>
  <si>
    <t>Definición del protocolo de diálogo social e intercultural</t>
  </si>
  <si>
    <t>Formulación de estrategia para el seguimiento y cumplimiento de compromisos, en el marco del diálogo social.</t>
  </si>
  <si>
    <t>Puesta en marcha del Sistema Nacional de Resolución de Conflictividad Social (SNRC).</t>
  </si>
  <si>
    <t>Implementar el 100% de la Política Marco de Convivencia y Seguridad Ciudadana en el territorio nacional.</t>
  </si>
  <si>
    <t xml:space="preserve">Atender y hacer seguimiento al 100% de las alertas emitidas por la Defensoría del Pueblo a la Secretaría Técnica de la Comisión Intersectorial para la Atención de Alertas Tempranas – CIPRAT. </t>
  </si>
  <si>
    <t>El reporte de este indicador se realizara sementalmente al terminar cada uno de los periodos de la legislatura.</t>
  </si>
  <si>
    <t>El Grupo de Modernización del Estado y la INC están haciendo analizando posibles  temas de interés producto del Observatorio y que puedan generar insumo para las entidades en el marco del Comité de Mejora Normativa.</t>
  </si>
  <si>
    <t>Meta finalizada. La INC actualmente llega a 4637 entidades de manera permanente.</t>
  </si>
  <si>
    <t>Meta finalizada. La INC actualmente llega al 100% de las entidades nacionales.</t>
  </si>
  <si>
    <t>Se encuentra en proceso un contrato con el Ministerio del Interior. En el próximo reporte se presenta los resultados de dicho convenio.</t>
  </si>
  <si>
    <t>De los 42 proyectos programados (convenios) para el cumplimiento del PND, en el primer trimestre se ejecutó un proyecto programado (convenio)</t>
  </si>
  <si>
    <t>De los 8 procesos proyectados, en el primer trimestre se ejecutaron 4 procesos</t>
  </si>
  <si>
    <t>A partir del segundo trimestre se empezará con el cumplimiento de los acuerdos del PND, ya que en la MPC fueron aprobados los respectivos trazadores presupuestales.</t>
  </si>
  <si>
    <t>La iniciativa 2,1 abarca temas que están inmersos en la iniciativa 2,2, por esta razón no se coloca presupuesta ya que los estaría duplicando.</t>
  </si>
  <si>
    <t>Medición y Resultados</t>
  </si>
  <si>
    <t>Las casillas donde aparece "No aplica" hace referencia a que la dependencia no tiene indicadores de producto y/o gestión.</t>
  </si>
  <si>
    <t>-35,0%</t>
  </si>
  <si>
    <t>-80,6%</t>
  </si>
  <si>
    <t>La fuente de información cuantitativa y cualitativa fue suministrada por los responsables del reporte de las entidades adscritas y vinculadas, y por las Direcciones del Ministerio del Interior.</t>
  </si>
  <si>
    <t>Para el cálculo del promedio del avance de las metas de producto, se incluyen los indicadores de tipo "Resultado".</t>
  </si>
  <si>
    <t xml:space="preserve">Se realiza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</si>
  <si>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 xml:space="preserve">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t>
  </si>
  <si>
    <t>(N.º de metas cumplidas/N.º de metas proyectadas)*100</t>
  </si>
  <si>
    <t>Durante el primer trimestre 2021 se realizó reunión con el Sr Ministro del Interior, Dr. Daniel Palacios a fin de encontrar la ruta estratégica para  la ampliación de las funciones de la entidad.</t>
  </si>
  <si>
    <t>Se suscribió convenio interadministrativo con la UNGRD - Unidad Nacional para la Gestión del Riesgo de Desastres, para la adquisición de vehículo tipo cisterna, para el fortalecimiento del cuerpo oficial de bomberos de providencia con el fin de atender la situación de emergencia generada por los huracanes IOTA- ETA</t>
  </si>
  <si>
    <t>Se suscribió convenio interadministrativo con la UNGRD para la adquisición de vehículo tipo cisterna, para el fortalecimiento del cuerpo oficial de bomberos de providencia con el fin de atender la situación de emergencia generada por los huracanes IOTA- ETA</t>
  </si>
  <si>
    <t>Los apoyos técnicos gestionados fueron:
22 Apoyos Operativos
04 Búsqueda y recuperación de cuerpos
01 Incendio estructural
08 Incendios Forestales</t>
  </si>
  <si>
    <t>En el primer trimestre de 2021 se realizó seguimiento a 30 Cuerpos de Bomberos y 12 cuentan con plan de mejora enviado.</t>
  </si>
  <si>
    <t xml:space="preserve">En este primer trimestre la Dirección Nacional de Bomberos a través de sus procesos misionales, ha venido acompañando y asesorando a los Cuerpos de Bombeos en la implementación de programas, reglamentos y lineamientos en materia bomberil, desde los procesos de Formulación Normativa, Coordinación Operativa, Fortalecimiento Bomberil, Inspección vigilancia y control y Educación Nacional para bomberos, se han generado estrategias para asesorar y acompañar a los 841 Cuerpos de Bomberos y sus Unidades Bomberiles; en asistencia técnica y administrativa 140 cuerpos de bomberos se capacitaron en buenas prácticas administrativas y financieras y asesoría en tribunal disciplinario.
</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</si>
  <si>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dio respuesta a PQRSD y  asesorías a cuerpos de bomberos, unidades bomberiles, delegaciones departamentales entre otras partes interesadas desde el proceso de formulación normativa en temáticas bomberiles (59 asesorías), se brindó asistencia técnica a Cuerpos de Bomberos en temas de educación nacional para bomberos (104 Cuerpos de Bomberos con apoyo técnico)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</si>
  <si>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3.1 Atender los requerimientos de las entidades que participan en el proceso de reforma institucional,  para para lograr la culminación del proceso y obtener la ampliación de la planta.</t>
  </si>
  <si>
    <t>N.º Informes</t>
  </si>
  <si>
    <t>N.º de estrategias de promoción del sector interior</t>
  </si>
  <si>
    <t>N.º de estrategias digitales y documentales</t>
  </si>
  <si>
    <t>Líneas de negocio en proceso de ajuste</t>
  </si>
  <si>
    <t>((N.º de actividades ejecutadas para la implementación del proceso de reingeniería)/(N.º de actividades programadas para la implementación del proceso de reingeniería))*100</t>
  </si>
  <si>
    <t>((N.º de resoluciones implementadas de colectivos de las vigencias 2013 al 2020)/(N.º de resoluciones colectivas aprobadas según acto administrativo de las vigencias 2013 al 2020))*100</t>
  </si>
  <si>
    <t>Este es un indicador de reporte semestral en el Plan de acción Institucional, por tal motivo el siguiente reporte se hará al finalizar el primer semestre de la vigencia 2021</t>
  </si>
  <si>
    <t>((N.º. total de cursos de autoprotección realizados a colectivos con enfoque étnico) / (N.º total de  cursos a colectivos con enfoque étnico aprobados según acto administrativo))*100</t>
  </si>
  <si>
    <t>((N.º de actividades ejecutadas del plan de avance de MIPG)/(N.º de actividades programadas del plan de avance de MIPG))*100</t>
  </si>
  <si>
    <t>((N.º de objetivos cumplidos en el período)/(total de objetivos programados de los sistemas que componen MIPG-SIG))*100</t>
  </si>
  <si>
    <t>(Número de proyectos ejecutados / Número de proyectos programados)*Promedio del avance en las iniciativas que aportan al cumplimiento de la prioridad</t>
  </si>
  <si>
    <t>En el primer trimestre se suscribió el convenio con el CRIC, para el cumplimiento de los acuerdos del Decreto 1811 de 2017, para los ejes de Gobierno Propio.</t>
  </si>
  <si>
    <t>(N.º de proyectos implementados x Comunidades Negras/  N.º de proyectos implementados proyectados)*100</t>
  </si>
  <si>
    <t>Se realizaron 2 convocatorias, se financiaron 218 proyectos en las 4 líneas de autonomía alimentaria, fortalecimiento organizativo, desarrollo tecnológico y proyectos productivos.
Dando continuidad a los Banco de Proyectos I y II, realizamos el requerimiento de todos los proyectos recibidos por parte de CCI pertenecientes a la línea 5 - Infraestructura comunitaria. Lo anterior, con el fin de centralizar la información de los mismos y poder continuar con los tramites pertinentes para la construcción de las instalaciones durante la vigencia 2021, tal como se estableció en los términos de referencia de las convocatorias en comento. Cabe mencionar que durante los primeros 15 días del mes de enero, la Corporación Colombia Internacional - CCI, no tenía personal contratado, razón por la cual las actividades alusivas a seguimiento en ejecución, estuvieron temporalmente suspendidas. Se recibieron de manera 13 proyectos durante la convocatoria I y 5 durante la convocatoria II.
Esta Dirección solicito a cada una de las organizaciones que presentaron proyectos por la línea 5 - Infraestructura Comunitaria, relacionar sus respectivos documentos de constitución, certificados expedidos por instrumentos públicos y demás documentación indispensable para validar la posesión efectiva de los terrenos que se pretenden afectar con los recursos del Banco de Proyectos. Se obtuvo respuesta de 17 de los 18  registros pertenecientes a Concejos Comunitarios y Organizaciones de las comunidades NARP. 
Teniendo en cuenta que el 28 de febrero era el plazo máximo para la ejecución técnica de las iniciativas diseñas y formuladas por parte de los Consejos Comunitarios y demás expresiones organizativas de las comunidades NARP, durante el mes de marzo se inició la estructuración del documento "Lecciones Aprendidas del Banco de Proyecto", el cual recoge los conocimientos adquiridos durante la ejecución de ambas ediciones del Banco de Proyectos, identificando los puntos a mejorar en cada una de sus etapas, desde la formulación del proyecto de inversión hasta la liquidación de los proyectos suscritos entre CCI y las diferentes organizaciones electas para cofinanciación. 
Esta Dirección sostuvo 4 espacios de seguimiento a la ejecución técnica y financiera de los 218 contratos suscritos entre la Corporación Colombia Internacional - CCI, los Consejos Comunitarios, Organizaciones y demás expresiones organizativas de las comunidades NARP que cumplieron con los requisitos técnicos, jurídicos y financieros para ser cofinanciados en el marco del Banco de Proyectos 2020. A partir de la última reunión de seguimiento, el día 27 de enero de 2021, se estableció un plan de trabajo que permitiera llevar al 100% de ejecución técnica y financiera a los 218 proyectos en ejecución. Dicho plan de trabajo incluyó: (1) reuniones semanales de manera virtual, (2) diseño, actualización y seguimiento diario a matriz de control de avances y (3) plan de comisiones en territorio por parte de CCI. Todas estas medidas permitieron avances significativos no solo en la ejecución de los proyectos sino en los desembolsos financieros de los mismos.
esta Dirección sostuvo múltiples reuniones con los representantes legales de las organizaciones con mayor atraso en su ejecución técnica y financiera para dar celeridad al proceso de ejecución, en concurso con la Coordinadora del Convenio Interadministrativo por parte de CCI y los respectivos supervisores de los proyectos en cuestión. De los 218 proyectos inicialmente aprobados, se detectaron 5 casos con posible incumplimiento de sus obligaciones contractuales: 2 proyectos de la primera convocatoria y 3 de la segunda. A corte de 16 de febrero de 2021 se habrían girado $16.457.221.639 millones de pesos, correspondientes al 92% aprox. de los recursos destinados a cofinanciación de proyectos, sin incluir las contrapartidas de los proyectos electos.
La Dirección, a través de la Corporación Colombia Internacional -CCI, desembolso el 100% de los recursos destinados al Banco de Proyectos 2020, excluyendo aquellos que por incumplimiento de sus condiciones contractuales no pudieron llevar a feliz término su proyecto, Plan Operativo y contratos previamente aprobados. Posterior a la culminación de las actividades técnicas y a la ejecución financiera de todas las organizaciones, se realizó reunión de seguimiento para establecer la metodología de liquidación, tanto de CCI con todas las organizaciones con quienes suscribió contrato, como con el Ministerio del Interior - LA NACION. Para ello, la Corporación Colombia Internacional solicitó el plazo de un mes, tiempo dentro del cual recopilaría la documentación necesaria para liquidar dichos contratos y presentar su último informe técnico y financiero, en archivo digital y físico, tal como se especifica en el anexo de condiciones contractuales del Contrato Interadministrativo 1189 de 2020.</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</si>
  <si>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realizó un análisis de las acciones de fortalecimiento en materia de derechos humanos vía proyectos presentados en el banco y una propuesta ejecutada vía operador logístico para desarrollar una reunión la primera semana de febrero donde se defina el mecanismo mediante el cual se va a llevar a cabo este fortalecimiento mediante un convenio con  Institución de Educación Superior por definir.
la Dirección de Asuntos para Comunidades Negras, Afrocolombianas, Raizales y Palenqueras, realizó dos espacios con la Consejería para la Estabilización consignando una presentación sobre la Estrategia de aporte en el cumplimiento de los indicadores de género del PMI y realizó una reunión preparatoria para realizar una jornada presencial de balance de los indicadores étnicos el 12 de Marzo.
la Dirección de Asuntos para Comunidades Negras, Afrocolombianas, Raizales y Palenqueras se encuentra en el proceso de contratación de profesionales para conformar los equipos de trabajo internos para dar continuidad al cumplimiento de este compromiso y retomar el trabajo con  la Teniente Paola Catalina Aponte Albarracín, Jefe Grupo Promoción y Difusión de DDHH de la Policía Nacional y continuar el trabajo en torno al documento sobre los   procedimientos policiales en procura de la salvaguarda del contexto cultural de las comunidades NARP.
la Dirección de Asuntos para Comunidades Negras, Afrocolombianas, Raizales y Palenqueras participó en el espacio junto con el Ministerio Público, COHDES, la UARIV y el DNP, donde se presentó el indicador trabajado durante Enero sobre el acompañamiento y la articulación en torno a los Procesos de Consulta Previa de los Planes Específicos de Prevención para las comunidades NARP afectadas por el conflicto armado. Lo anterior, dando cumplimiento a lo estipulado en el Auto 266 de 2017 y a la prórroga de medidas consignadas en el Decreto 4635 de 2011.
Se da continuidad al convenio para unar esfuerzos técnicos entre el MINISTERIO DEL INTERIOR y el DANE, con el fin de coordinar una propuesta metodológica para la recolección de la información de los listados censales de las Comunidades, Negras, Afrocolombianas, Raizales y Palenqueras en el marco de los compromisos del Plan Nacional de Desarrollo . 6. Socializar los productos censales entre las instituciones del orden territorial y nacional para la toma de decisión administrativa dentro los planes de acción institucionales. 7. Formular recomendaciones de políticas públicas, según sea el caso, en los temas que son objeto del presente convenio.
4. Propiciar espacios de difusión dirigido a las comunidades negras, afrocolombianas, raizales y palenqueras para la socialización de la
metodología construida entre las partes, Como apoyo a la supervisión, se constituirá una MESA DE TRABAJO Y SEGUIMIENTO con el objeto de coordinar las diferentes acciones, compuesta por dos representantes designados por el Subdirector del DANE y cuatro representantes
designados por la Ministra del Interior de las áreas competentes, es decir, dos de la Dirección de Asuntos para Comunidades Negras, Afrocolombianas, Raizales y Palenqueras y dos de la Dirección de Asuntos Indígenas, Rrom y Minorías. Dicha mesa será convocada a solicitud de cualquiera de las partes o cuando la ejecución del convenio así lo requiera, al menos de manera trimestral.
la Dirección de Asuntos para Comunidades Negras, Afrocolombianas, Raizales y Palenqueras ha acompañado procesos previos a la realización de espacio de trabajo conjuntos con el ICBF y la Comisión Intersectorial para la primera Infancia para realizar sesiones de trabajo con la Comisión III del Espacio Nacional de Consulta Previa para dar cumplimiento a compromisos de éstas entidades en el marco del PND.</t>
  </si>
  <si>
    <t>Se socializo el documento censal y presentación del equipo que realizaría la actividad, lo cual se contó con la presencia del Ministerio Publico, Consejos Comunitarios y herederos del predio hacienda Arroyo Grande, durante el 03 al 16 de marzo de 2021 la DCNARP realizo apoyo al desarrollo de la actividad censal casa a casa, lo cual se delegaron 4 profesionales para tal efecto, en la misma reunión de socialización las comunidades manifestaron descontentos en la reducción del polígono de 18.000 hectáreas mencionadas por el extinto Incoder que era la zona objeto de clarificación y la Agencia Nacional de Tierras menciona que en mayo de 2020 realizó una corrección del polígono de la hacienda arroyo grande y este es de 8.400 hectáreas y la  cual implica que la comunidad de Amazaguapo queda excluida del proceso censal, las comunidades solicitaron que la Subdirección de procesos agrarios  de la ANT explique por qué la reducción del mismo, para ello se acordó reunión técnica y jurídica para finales de marzo. 
Se buscó armonizar relación entre el Estado y las comunidades para adelantar a través de los interlocutores válidos un acertado manejo de la comunicación, y se les informó a las instituciones del Estado, por parte del Ministerio del interior, cuales son las expectativas de las comunidades frente a proyectos de gran importancia en el orden de compromisos binacionales como la Vía Binacional Tumaco – Esmeraldas (Ecuador).
Participamos de la V Reunión de Representantes de los Órganos e Instituciones del Sistema Andino de Integración. En la reunión participaron más de 150 personas de la región andina, incluido el presidente de Colombia Iván Duque y los delegados de los países miembros de la CAN.
Desarrollo de la Actividad: La presidencia pro tempore de Colombia incluyó dentro de su Plan de Trabajo 2020- 2021 un eje de Gobernanza que contempla la realización de la Reunión del Sistema Andino de Integración, dando alcance a los artículos 9 y 10 del Acuerdo de Cartagena que establecen que las reuniones de los Representantes del Sistema Andino de Integración se celebrarán de manera ordinaria al menos una vez al año. Esta actividad se desarrolló en la cancillería de Colombia, y tenía como finalidad el conocer los avances realizados por la presidencia Pro Témpore en su mandato anual. Compromiso: Esta reunión es importante puesto que aporta a la coordinación entre los distintos órganos del Sistema Andino de Integración y la consecución de los objetivos del Acuerdo de Cartagena. Adicionalmente, en la Declaración de La Paz, firmada con ocasión de la IV Reunión de Representantes de Órganos e Instituciones del Sistema Andino de Integración, los representantes expresaron su compromiso de realizar una próxima reunión, en coordinación con la próxima pro témpore (Colombia), para hacer seguimiento a los planes de acción en beneficio de los ciudadanos andinos. 
La DACNARP tiene como compromiso seguir adelantando las actividades como Presidencia Pro Témpore en la mesa Afrodescendiente de la CAN. Una de las actividades es darle continuidad a la matriz POA expuesta en el año 2020.
Resultado: En el evento la DACNARP dio a conocer el foro del Decenio Internacional realizado en diciembre del año 2020. Foro que permitió dar a conocer los avances normativos y acciones afirmativas que se han presentado en Bolivia, Ecuador y Perú. Este tipo de intercambio beneficia enormemente a nuestras comunidades, puesto que generan nuevas alternativas para poder desarrollar con las comunidades NARP en Colombia.  Activa Buenaventura	Desarrollo de la Actividad: Se realizó articulación con la APC y USAID sobre el tema Activa Buenaventura. 
	Esta actividad hace parte de las “Alianzas Competitivas para la Equidad” lanzadas por el Gobierno Nacional, como estrategia para promover la inversión privada y el desarrollo en los territorios afectados por la violencia. 
	Esta iniciativa se compone de tres líneas estratégicas: liderazgo social, incidencia en política pública y gobierno abierto, a través de los cuales se busca alcanzar una Buenaventura donde la ciudadanía informada se apropie de los asuntos públicos, las instituciones respondan a las solicitudes ciudadanas, y se genere confianza en la efectividad de la participación y en los procesos de toma de decisiones públicas.
se realiza fortalecimiento a las siguientes instituciones en la formulación de la política publica con enfoque diferencial para las comunidades Negras Afrocolombianas, Invima, Dian, Ica, Alcaldía de Tumaco, Consejería presidencial para los derechos humanos, Migración Colombia, Cancillería.</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</si>
  <si>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finalizó la primera etapa de fortalecimientos a Consejos Comunitarios y demás formas organizativas de las Comunidades NARP en lo relacionado con la Ley 2056 de 2020 (Ley del Sistema General de Regalías). Se espera realizar una segunda jornada de fortalecimientos a aquellos Consejos Comunitarios y Organizaciones de Comunidades NARP que lo soliciten. Así mismo, se realizaron sesiones de asistencia técnica a los más de 600 proyectos postulados para el Banco de Proyectos para el Fortalecimiento Organizativo de Consejos Comunitarios y demás formas organizativas de las Comunidades NARP. Lo anterior, para que puedan surtir los diferentes procesos de subsanación en la presentación de sus proyectos.
Se realizaron 51 activaciones de rutas étnicas en el marco de los planes específicos de prevención y atención para comunidades NARP en los departamentos de Nariño, Cauca, Córdoba, Arauca, Antioquia, Chocó, Risaralda y Putumayo.
Se da continuidad a la coordinación de los procesos de consulta previa, según demanda de las entidades y las coyunturas correspondientes frente a medidas legislativas y administrativas.  se acompañaron los siguientes procesos:  estatuto para los Etnoeducadores, Proyecto de Ley de Regalías, Protocolo de relacionamiento para Comunidades Negras ante la UBPD, política pública de Infancia y adolescencia y Protocolo de Consulta Previa, Proyecto de decreto reglamentario del Artículo 45 de la Ley 70 de 1993 (Decreto 1640 de 2020) y los decretos que prorrogaron la vigencia del primer periodo de los delegados ante el ENCP (Decreto 496 y 1764 de 2020)
Se dio continuidad a la XVI Mesa Técnica en el marco del proceso de consulta previa del Proyecto de Ley por medio del cual se expide el Estatuto de Profesionalización de Docentes Etno Educadores de las Comunidades Negras, Afrocolombianas, Raizales y Palenqueras al servicio del Estado. Esta sesión se realizó de manera presencial en la ciudad de Bogotá con el cumplimiento de todos los protocolos establecidos para llevar a cabo sesiones de trabajo presencial</t>
  </si>
  <si>
    <t xml:space="preserve">Frente a la Implementación el Plan de Caracterización en  veinticinco (25) Consejos Comunitarios conforme a lo establecido en la sentencia T -025 de 2004 y sus autos de seguimientos realiza  la  Planificación   de  los   consejos  comunitarios  a intervenir  teniendo  en  cuenta   los  procesos realizados  durante  el  año 2020, Se  concluye  la  intervención   de   42  procesos  a dar  continuidad   la caracterización  así :  10  en  Nariño; 10  en  Choco , 10  en  María  la  Baja, 10  en Buenaventura;  1  en  el  Cesar; 1 en  Sucre. 
Se  realiza el  acopio de  los  documentos   de  caracterización  realizados  durante  el  año 2020  con  el objeto   de  analizar  el  alistamiento   y plan  de  trabajo de  acuerdo   a  la  fases  en  que  se  encuentran   los  diferentes  procesos.
Atención de las alerta  temprana 001-2021  de  los departamentos  de Caquetá, Cauca y Putumayo sin   recomendación  directa a  la  DACN;  se  acudió   a   tres Sesiones  de CIPRAT  de manera virtual y a un taller regional de seguimiento (virtual) ,  Se  realiza  reunión    de  análisis y estado  del  proceso  consultivo   de los Sujetos  de  Reparación  Colectiva:  Bajo Mira  y  Frontera;  Cacarica; Aires  de  Garrapatero;  Zanjon  del  Garrapatero,  Jacobo Pérez  Escobar; Rincón Guapo Loveran; Ayapel; El Perro, La  Vuelta; ACADESAN.   con  el objeto  de  priorizar  la  continuidad  del  los  procesos.
Atención de las tres  alertas  tempranas  de  los departamentos  de Bolívar, Norte de Santander y  Valle del Cauca sin recomendaciones  directas a  la  DACN;  se  acudió   a ocho Sesiones  virtuales de  CIPRAT,  Se  realiza  reunión  con  el  Viceministro  y  directivos  de  la Unidad  para  la  victimas  para  luego  acordar   con  la  Directora  ACNARP   el  inicio   de  los  proceso  desde  el  mes   de  marzo  iniciando  por  la  protocolización   de  los  SRC     de  los  c.c.  Ares  del  Garrapaterp;  Zanjon  de    Garrapatero  y  Bajo Mira  y Frontera,   Se  Realiza  reunión  con  al Unidad  para  las  victimas   dejando  la  disposición  de  la  DACN ,  cuando  sea   requerido  su  acompañamiento  y  organización  logística    de  aporte de  la Unidad  para  las  Victimas.
Se realiza estudio   y  activación  de  la  Ruta  Étnica  del  Consejo  Comunitario  de  la  Toma  -  Suarez,   Cauca.
</t>
  </si>
  <si>
    <t>Porcentaje de avance de elaboración del protocolo</t>
  </si>
  <si>
    <t>Porcentaje de seguimiento y cumplimiento de los compromisos en el marco del diálogo social</t>
  </si>
  <si>
    <t>(Número de compromisos realizados en el marco del dialogo social / Número de compromisos planeados en el marco del dialogo social)*100</t>
  </si>
  <si>
    <t>La Propuesta de Política Pública de Diálogo Social contempla la creación del Sistema Nacional, una vez se aprueba y expida esta política se debe trabajar en su puesta en marcha. Se espera entregar la versión consolida de esta Política el día viernes 7 de mayo.</t>
  </si>
  <si>
    <t xml:space="preserve">Durante el primer trimestre se realizaron 3 actividades  con miras al cumplimiento de las acciones para la implementación de la Política Marco; a saber.
Febrero: 3. Se realizo la gestión respectiva a lograr la expedición del decreto Consejo Nacional de Seguridad y Convivencia Ciudadana, el cual ya tiene las firmas de los ministros de Defensa e Interior, contribuyendo al avance de la estrategia Arquitectura institucional. 
Marzo:  (i) gestión interna para el reporte de indicadores de las acciones correspondientes a la dirección de indígenas y dirección de derechos humanos, y (ii) distribución del trabajo de la secretaría técnica de la implementación de la Política Marco, entre DNP, Mindefensa y MinInterior.
</t>
  </si>
  <si>
    <t>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t>
  </si>
  <si>
    <t>N.º de Proyectos aprobados / Número de proyectos radicados en la legislatura</t>
  </si>
  <si>
    <t>El reporte de este indicador se realizara semestralmente al terminar cada uno de los periodos de la legislatura.</t>
  </si>
  <si>
    <t>Frente a la implementación de las Políticas Públicas en materia de Descentralización y Ordenamiento territorial , se han adelantado asistencias técnicas a entidades territoriales y corporaciones públicas con las cueles se fortalecen los procesos de  desarrollo territorial a través del la implementación  de temas como son:  *Conformación y seguimiento de Esquemas Asociativos Territoriales (Provincias Administrativas de Planificación PAP,  de Regiones Administrativas de Planeación RAP, conformación de asociaciones de Áreas Metropolitanas), seguimiento al CONPES 3944 de 2018 y oferta institucional del Sistema Administrativo del Interior. De la misma forma la Dependencia  realiza seguimiento a los Decretos reglamentarios  como son: * Régimen Municipal * Esquemas Asociativos Territoriales – EAT * Distritos Especiales y Decreto Reglamentario Ley de Áreas Metropolitanas,  los cuales se encuentran surtiendo el tramite respectivo con las di refrentes instancias, como estrategia  de articulación entre el Gobierno Nacional y las entidades territoriales orientadas a su fortalecimiento y modernización.</t>
  </si>
  <si>
    <t>Durante el primer trimestre 2021 el equipo jurídico de la Dirección realizó seguimiento a los Decretos reglamentarios de la siguiente manera: *El 29/03/2021 Remiten el texto Decreto Régimen Municipal al despacho Viceministro Relaciones Políticas para revisión.  *Decreto Reglamentario de Esquemas Asociativos Territoriales - EAT, se remite al  despacho Viceministro de Relaciones Políticas para revisión.  *Decreto Reglamentario Distritos Especiales y Decreto Reglamentario Ley de Áreas Metropolitanas, se encuentran en revisión de la DGT  y del DNP.  Surtidas estas etapas, se iniciará con la socialización  de la normatividad en materia de descentralización y Ordenamiento Territorial.</t>
  </si>
  <si>
    <t>La Dirección de Gobierno viene implementando (10) asistencias técnicas  a las entidades territoriales en la Oferta Institucional del Sistema Administrativo del Interior  y la contratación de (24) enlaces territoriales con los cueles se brindará acompañamiento permanente en territorio como mecanismo de relacionamiento con autoridades territoriales y sus organizaciones.</t>
  </si>
  <si>
    <t>Porcentaje de sesiones de la comisión intersectorial adelantadas</t>
  </si>
  <si>
    <t>Avance trimestre: El 3 de febrero de 2020 con la participación del Señor Presidente de la República, se desarrolla la sesión No.5 de la Comisión Intersectorial para el Desarrollo del Plan de Acción Oportuna (PAO) de Prevención y Protección Individual y Colectiva de los Derechos a la Vida, la Libertad, la Integridad y la Seguridad de Defensores de Derechos Humanos, Lideres Sociales, Comunales y Periodistas, primera para la vigencia 2021</t>
  </si>
  <si>
    <t>Porcentaje de asistencias dirigidas a apoyar a las entidades territoriales en la formulación y seguimiento a la implementación del protocolo de protección para territorios rurales</t>
  </si>
  <si>
    <t xml:space="preserve">(Número de asistencias técnicas realizadas/número de asistencias técnicas programadas)*100% </t>
  </si>
  <si>
    <t>Edna Paola Nájar Rodríguez
(Oficina Asesora de Planeación)</t>
  </si>
  <si>
    <t>El cumplimiento de la prioridad está programada para el IV trimestre, el Departamento Administrativo de la Fusión Pública a la fecha no ha generado los resultados del FURAG.</t>
  </si>
  <si>
    <t>Porcentaje de requerimientos atendidos para la reforma de planta de personal</t>
  </si>
  <si>
    <t>I trim 2021</t>
  </si>
  <si>
    <t>II trim 2021</t>
  </si>
  <si>
    <t>III trim 2021</t>
  </si>
  <si>
    <t>IV trim 2021</t>
  </si>
  <si>
    <t>RESULTADO ALCANZADO I TRIMESTRE</t>
  </si>
  <si>
    <t>RESULTADO ALCANZADO II TRIMESTRE</t>
  </si>
  <si>
    <t>RESULTADO ALCANZADO III TRIMESTRE</t>
  </si>
  <si>
    <t>RESULTADO ALCANZADO IV TRIMESTRE</t>
  </si>
  <si>
    <t>RESULTADO ALCANZADO 2021</t>
  </si>
  <si>
    <t>TOTAL 2021</t>
  </si>
  <si>
    <t xml:space="preserve">Continúan los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</si>
  <si>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Durante el segundo trimestre del año 2021 se presentaron reuniones con los resguardos de Belalcázar, Tálaga, Avirama, Togoima, y Cohetando en el municipio de Páez en el departamento del Cauca. Resguardos en los cuales se realizarán obras de infraestructura en Vías, Educación, Salud, Saneamiento y Vivienda.</t>
  </si>
  <si>
    <t>NA</t>
  </si>
  <si>
    <t>Durante el trimestre se realizó ajuste y formalización de los estudios previos y documentación general para el convenio a suscribir, quedando avalado por cada una de las partes, y esperando la firma para aprobación, y puesta en marcha del mismo.</t>
  </si>
  <si>
    <t>Se realizó la aprobación en el banco de proyectos de la Entidad de los diferentes proyectos para las áreas de Vivienda, Salud y Saneamiento, Vías, Educación, Jurídica, Gestión del Proyecto, Electrificación, Planeación Operativa, que se ejecutarán en la vigencia fiscal.</t>
  </si>
  <si>
    <t>Se realizó registro de avance de las 19 acciones en el aplicativo Sis Conpes 2.0 para el corte 2020-2. El estado actual de las mismas se evidencia en los reportes de consulta para el Conpes 3667 de 2010.</t>
  </si>
  <si>
    <t>Se adelanta trámite legislativo ante el Congreso de la República que permita ampliar las funciones de la Corporación Nasa Kiwe.</t>
  </si>
  <si>
    <t>Durante el segundo trimestre el equipo de trabajo de la Central de Telecomunicaciones y la sala situacional de la DNBC, registraron la información de eventos reportados por los Cuerpos de Bomberos del País, al tiempo que prestaron el apoyo requerido para la coordinación en la prestación del servicio, es así como se comprometieron recursos para el servicio de horas vuelo y la prestación de servicios de apoyo.
Los apoyos técnicos gestionados fueron:
37 Apoyos Operativos
04 Búsqueda  y recuperación de cuerpos
 03 Búsqueda y rescate de personas
03 Incendio Estructural
06 Incendio Forestal
Las emergencias registradas de acuerdo con los reportes realizados por los Cuerpos de Bomberos a la fecha son de 35.746.</t>
  </si>
  <si>
    <t xml:space="preserve">En el segundo trimestre de la vigencia se llevo a cabo a nivel territorial la validación de los productos resultado del desarrollo  de las plataformas y programas de la vigencia 2020,  se celebró convenio con el Cuerpo de Bomberos Voluntarios de Envigado para desarrollar la Plataforma de Búsqueda y Rescate;  en el segundo semestre de la vigencia se adelantan las invitaciones y estudios para la ejecución de los siguientes programas:
SART (DRONES)    
Programa  Inspección de Seguridad Humana y de Protección contra Incendios 
Programa Fortalecimiento de la Gestión Institucional de los Bomberos de Colombia 2020-2030
Programa de Investigación de Incendios y Emergencias Bomberos Colombia 
El Programa  de Incendios Forestales
</t>
  </si>
  <si>
    <t>Se capacitaron 80 cuerpos de bomberos en el trimestre de manera virtual en el Sistema Registro Único de Estadísticas - RUE.
Los recursos asignados a esta acción corresponden a la sostenibilidad del sistema y serán destinados para licencias que permitan el funcionamiento del RUE orientadas a:
Sistemas autónomos de bases de datos en la nube
Sistema de almacenamiento en la Nube
Inteligencia de negocios en la nube</t>
  </si>
  <si>
    <t xml:space="preserve">Se continua en el proceso de ajuste de las líneas de negocio. </t>
  </si>
  <si>
    <t>En la actualidad se continua con el ajuste de las líneas de negocio.</t>
  </si>
  <si>
    <t>Durante el segundo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</si>
  <si>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 xml:space="preserve">Con corte a 30 de junio de 2021, de los procesos de protocolización iniciados después de 2018 se han protocolizado 1176 comunidades, de las cuales 865 se han realizado en menos de 6 meses.
ABR: Se realizaron 1093 protocolizaciones de las cuales 801 fueron en menos de 6 meses.
MAY:  Se realizaron 1131 protocolizaciones de las cuales 828 fueron en menos de 6 meses.
JUN:  Se realizaron 1176 protocolizaciones de las cuales 865 fueron en menos de 6 meses.                                                                                                                             </t>
  </si>
  <si>
    <t xml:space="preserve">Con corte al segundo trimestre de los 690 actos administrativos emitidos 14 requirieron visita y se expidieron con un promedio de 83,32 días; así mismo, 676 no requirieron visita y se expidieron con un promedio de 28 días. Abril 358, 8 con visita y 350 sin ella, Mayo 518, 505 sin visita y 13 con ella, Junio 690, 14 con visita, 676 sin ella.
</t>
  </si>
  <si>
    <t>II Trimestre: Se fortalecieron 746 Organizaciones de acción comunal en su capacidad de gestión e interlocución de la siguiente manera: (4) con Visitas de Inspección Control y Vigilancia, (383) con formación en el marco jurídico, (359) con capacitaciones sobre el proceso de elecciones. Abril: 169, Mayo: 428, Junio: 149</t>
  </si>
  <si>
    <t>II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 Estrategia que se esta desarrollando por Departamentos</t>
  </si>
  <si>
    <t>Durante  la Legislatura 2020-2021 fueron radicados ante el Congreso de la Republica 54 Proyectos de Ley. Se logró la aprobación de 49 lo que da un resultado para esta legislatura del 90,74%. 
Los proyectos aprobados se relacionan continuación:
PROYECTOS SANCIONADOS 
-Acto Legislativo 01 del 22 de julio de 2020 Prisión perpetua.
-Ley 2098 del 06 de julio de 2021 Reglamentación de la prisión perpetua
-Ley 2022 del 22 de julio de 2020 Pliegos Tipo.
-Ley 2031 del 27 de julio de 2020 Acuerdo de Cooperación Financiera con Francia.
-Ley 2055 del 10 de septiembre de 2020 Convención Interamericana de DDHH de Personas Mayores.
-Ley 2056 del 30 de septiembre de 2020 Reglamentación del Sistema General de Regalías
-Ley 2060 del 22 de octubre de 2020 Ampliación de la vigencia del PAEF.
-Ley 2064 del 09 de diciembre de 2020 Inmunización contra el COVID.
-Ley 2066 del 14 de diciembre de 2020 Normalización de cartera de radiodifusión sonora.
-Ley 2063 del 28 de noviembre de 2020 Presupuesto General de la Nación 2021.
-Ley 2067 del 23 de diciembre de 2020 Acuerdo Comercial con el Reino Unido – Brexit.
-Ley 2072 del 31 de diciembre de 2020 Presupuesto Bianual de Regalías.
-Ley 2068 del 31 de diciembre de 2020 Ley General del Turismo.
-Ley 2071 del 31 de diciembre de 2020 Alivios Financieros para el Sector Agropecuario
-Ley 2069 del 31 de diciembre de 2020 Ley de Emprendimiento
-Ley 2070 del 31 de diciembre de 2020 Ley Reactivarte.
-Ley 2073 del 31 de diciembre de 2020 Cupo de Endeudamiento.
-Ley 2074 del 31 de diciembre de 2020 Copa América 2021.
-Ley 2080 del 25 de enero de 2021 Reforma del CPACA.
-Ley 2079 del 14 de enero de 2021 Ley de Vivienda y Hábitat.
-Ley 2083 del 18 de febrero de 2021 Antidopaje Penal.
-Ley 2084 del 03 de marzo de 2021 Antidopaje.
-Ley 2085 del 03 de marzo de 2021 Depuración Normativa.
-Ley 2088 del 12 de mayo de 2021 Trabajo en Casa.
-Ley 2089 del 14 de mayo de 2021 Prohibición del castigo físico
-Ley 2095 del 01 de julio de 2021 Convenio Colombia-Japón eliminación doble tributación 
-Ley 2094 del 29 de junio de 2021 Reforma Código General Disciplinario
-Ley 2090 del 22 de junio de 2021 Tratado de Marrakech
-Ley 2092 del 29 de junio de 2021 Tratado Colombia-China traslado de personas condenadas
-Aprobados el 04 de diciembre de 2020 Ascensos de las Fuerzas Militares y de la Policía. 
-Aprobados el 08 de junio de 2021 Ascensos de las Fuerzas Militares y de la Policía.
PROYECTOS PENDIENTES DE SANCIÓN 
-PLE 409-20C PLE 234-20S  Código Electoral Colombiano"
-PL 459-20C PL 001-19S ACUM PL 036-19S Política Integral Migratoria"
-PL 139-19S PL 590-21C Acuerdo Banco Europeo
-PL 275-19S PL 007-19C Consultorios jurídicos
-PL 141-19S PL 589-21C Convenio de seguridad social 
-PL 142-19S PL 597-21C Convenio de importación temporal
-PLE 475-21S PLE 468-20C ACUM PLE 295, PLE 430-20C Administración de Justicia"
-PL 453-21S PL 133-20C  Reforma a las Comisarías de Familia
-PL 496-20C PL 202-20S  Tratado Espacio Ultraterrestre
-PL 283-19C PL 446-21S Delitos Ambientales 
-PL 299-20S PL 231-19C  Ley de Fronteras
-PL 365-20S PL 565-21C Transición Energética 
-PL 464-20C PL 436-21S Ley Abanderamiento 
-PL 505-20C PL 313-20S Convenio Fomin III 
-PL 210-19S PL 596-21C  Tratado Alianza Del Pacífico
-PL 622-21C PL 140-19S Tratado Suiza
-PL 482-21S PL 621-21C Sobretasa a la Gasolina
-PL 044-19S PL 391-21S Gas Combustible</t>
  </si>
  <si>
    <t>Durante  la Legislatura 2020-2021 fueron radicados ante el Congreso de la Republica 54 Proyectos de Ley, los cuales fueron socializados, con ponentes y aliados estratégicos, logrando la aprobación de 49 Proyectos de Ley ,</t>
  </si>
  <si>
    <t>Durante el trimestre se programaron 11 reuniones con los enlaces legislativos del Gobierno Nacional. 
Las cuales se realizaron, Abril :4, Mayo: 4 Junio: 3   En las cuales se establecieron estrategias para el trámite legislativos de los proyectos de Ley de interés e impacto para el Gobierno Nacional.</t>
  </si>
  <si>
    <t>Los días  1, 2, 3 y 4 de junio se realizaron reuniones con el Ponente, Secretaria de transparencia, Vicepresidencia y Ministerio del Interior para establecer estrategias para el PL 341-20S Mesa de Moralización,</t>
  </si>
  <si>
    <t>Durante los meses de abril, mayo y junio de 2021, el equipo jurídico de la Dirección realizó seguimiento a Proyectos de Ley y los Decretos reglamentarios de la siguiente manera: PROYECTOS DE LEY  *Se realizó primer debate en el Congreso de la República al proyecto de ley “Por la cual se dictan normas tendientes a modernizar la organización y el funcionamiento de los departamentos”.  *Respecto al proyecto de ley “Por la cual se dictan normas tendientes a modernizar la organización y el funcionamiento de los municipios”, se entregará para revisión a la Oficina Jurídica de Presidencia de la República y a la Dirección de Asuntos Legislativos.    DECRETOS  REGLAMENTARIOS  *El proyecto de decreto sobre Esquemas Asociativos Territoriales se encuentra para firma del Presidente de la República. *El proyecto de decreto mediante el cual se reglamenta la ley 1617 de 2013 “Ley de distritos”, se encuentra revisión de la Oficina Asesora Jurídica del Mininterior y el despacho del Viceministro de relaciones Políticas. Surtidas estas etapas, se iniciará con la socialización  de la normatividad en materia de descentralización y Ordenamiento Territorial</t>
  </si>
  <si>
    <t xml:space="preserve">El cumplimiento de la prioridad está programada para el IV trimestre, el Departamento Administrativo de la Función Pública genero los resultados FURAG y el Ministerio del Interior obtuvo un resultado de 88.2 puntos frente al índice de desempeño institucional. </t>
  </si>
  <si>
    <t xml:space="preserve">El cumplimiento de la prioridad está programada para el IV trimestre, el Departamento Administrativo de la Función Pública generó los resultados FURAG y el Ministerio del Interior obtuvo un resultado de 88.2 puntos frente al índice de desempeño institucional. </t>
  </si>
  <si>
    <t>Se dio cumplimiento al 100% de los programado para el II trimestre de acuerdo a las actividades asociadas a la iniciativa, realizando los respetivos seguimientos a las metas y compromisos del Ministerio.</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</si>
  <si>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</si>
  <si>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1. Durante el mes de abril de 2021 se fortaleció a 2.589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de mayo de 2021 se fortaleció a 1.788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junio de 2021 se fortaleció a 2.663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</si>
  <si>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A junio del año 2021, se han recibido en la coordinación de implementación de medidas de protección, ciento sesenta y cuatro (164) actos administrativos que ordena implementar medidas colectivas, de los cuales se han implementado a satisfacción ciento veintiún (121) actos administrativos.
Se logró un porcentaje de cumplimiento del 73,78% de la implementación de las medidas otorgadas a las personas beneficiarias de la ruta de protección colectiva.</t>
  </si>
  <si>
    <t>Durante el primer semestre del año 2021 se recibieron   treinta y cinco    solicitudes de  charlas de Auto protección y Auto seguridad  con enfoque diferencial dirigida a  los diferentes grupos poblacionales de  responsabilidad  de la Unidad Nacional de Protección,  de las  cuales  se capacito a 653 personas.
En consecuencia, de las solicitudes allegadas a la coordinación, solamente una corresponde   a línea de enfoque diferencial de mujeres lideresas y defensoras; En la cual se capacito a 21 mujeres del presente grupo poblacional.</t>
  </si>
  <si>
    <t xml:space="preserve">En el segundo trimestre la UNP fue convocada a una reunión de tipo técnicas con el equipo del Plan de Acción Oportuna. La sesión se adelantó el 20 de abril en la sala estratégica de la Policía Nacional, y contó con la participación de:  Viceministro de Defensa Nacional - Director de Seguridad Ciudadana Policía Nacional - Delegado Ministerio del Interior - Comandante CELIT DIJIN - Comandantes de departamento de los municipios priorizados PAO - Comandantes de Unidades del Ejército Nacional en las zonas priorizadas - Unidad Especial de Investigación - Fiscalía General de la Nación. La reunión no generó compromisos específicos para la UNP. </t>
  </si>
  <si>
    <t xml:space="preserve">Para el II Trimestre, se tenían programadas 5 actividades de las cuales 5 fueron ejecutadas, dando un cumplimiento del 100% al indicador. 
Para el tercer trimestre de 2021 se desarrollará un cronograma detallado de las actividades a desarrollar entre las que se encuentran lo referente a la preparación de los procesos para las auditorías de certificación, mesas de trabajo de sensibilización sobre la nueva versión del Instructivo para la elaboración de documentos del SIG, el procedimiento de servicio o producto no conforme, información referente al Modelo Integrado de Planeación y Gestión, entre otros temas. </t>
  </si>
  <si>
    <t xml:space="preserve">
Conforme el seguimiento realizado para el primer trimestre del 2021 del Despliegue de la Política Integral MIPG-SIG frente al cumplimiento de los objetivos medidos en el período, se obtuvo un total de 15.4 objetivos cumplidos en el periodo de 18 objetivos que se tenían programados en los sistemas que componen MIPG-SIG. Para el total de los 18 objetivos evaluados se tuvo un cumplimiento promedio de 85,56% </t>
  </si>
  <si>
    <t>El indicador del Grupo de Análisis Estratégico Poblacional -GAEP-, periodo comprendido entre 01 de abril al 30 de junio de 2021, indica que existen 158 municipios priorizados por el PAO, lográndose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(en adelante A2R) durante el segundo trimestre del año 2021 llegando a un total
de 80 A2R, lo que representa un 50,62% del total del cumplimiento del indicador. Estos
documentos proporcionan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Al finalizar el II Trimestre de 2021, se tienen 80 municipios con diagnóstico focalizado de riesgo cumpliendo así con el 50,6% de la meta para el 2021.</t>
  </si>
  <si>
    <t>En el segundo trimestre, se fimo el convenio con la Organización Nacional Indígenas de Colombia - ONIC, con el propósito de realizar su fortalecimiento de Gobierno propio en la realización de la Asamblea General de la ONIC, para escoger el nuevo consejero Mayor de esta organización Indígena y  se atendieron los diferentes espacios de dialogo con los pueblos indígenas y las entidades del gobierno, según las solicitudes allegadas a la DAIRM para su acompañamiento.</t>
  </si>
  <si>
    <t>En el segundo trimestre, se dio atención a 1 tutela, se enviaron insumos para 6 procesos de restitución de tierras y se acompañaron a 2 audiencias de restitución de tierras.</t>
  </si>
  <si>
    <t>En el segundo trimestre, se suscribieron 3 convenios para atender los Gastos Generales de la DAIRM y del Ministerio del Interior.</t>
  </si>
  <si>
    <t>Avance trimestre: i) desarrollo seis (6) asistencias técnicas territoriales socialización Plan de Acción Oportuna: Meta-Villavicencio, Chocó-Quibdó, Norte Santander- Cúcuta, Putumayo - Puerto y Asís, Meta - Puerto Gaitán y Arauca- Arauca; ii) Avanza evaluación, en las entidades territoriales priorizadas, de las rutas existentes e inclusión del enfoque de género y línea de respuesta rápida para población de ex combatientes y líderes PNIS; iii) Popayán: construcción concertada y articulada ruta de protección a lideres sociales; vi) Santander: reunión con grupo de prevención y protección de la mesa territorial de garantías y articulación con Agencia para la Reincorporación y la Normalización; creación de la Ruta de Prevención; v) Socialización rutas impresas a las entidades Territoriales.</t>
  </si>
  <si>
    <t>Avance trimestre: i) avanza proceso de concertación de agendas de las asistencias territoriales; ii) desarrollo de seis (6) asistencias técnicas territoriales de socialización del Plan de Acción Oportuna en: Meta-Villavicencio, Chocó-Quibdó, Norte Santander- Cúcuta, Putumayo - Puerto y Asís, Meta - Puerto Gaitán y Arauca- Arauca.</t>
  </si>
  <si>
    <t>Avance trimestre: i) Avanza evaluación, en las entidades territoriales priorizadas, de las rutas existentes y la inclusión del enfoque de género y una línea de respuesta rápida para la población de ex combatientes y líderes PNIS; ii) En Popayán construcción concertada y articulada de la ruta de protección a lideres sociales; iii) En Santander reunión con el grupo de prevención y protección de la mesa territorial de garantías y articulación con Agencia para la Reincorporación y la Normalización para la creación de la Ruta de Prevención; iv) Socialización rutas impresas a las entidades Territoriales.</t>
  </si>
  <si>
    <t>Avance trimestre: continúan las actuaciones administrativas tendientes a la suscripción del convenio (estrategia de medios del Ministerio) que permita el desarrollo de la actividad</t>
  </si>
  <si>
    <t>En el segundo trimestre de la vigencia 2021 se realizaron las siguientes acciones para la formulación  de la política pública de gestión de conflictividades sociales a través del diálogo social.
Abril: Se estructura la propuesta de  formulación de la política pública a través de proyecto de Decreto, el cual se encuentra en borrador para revisión del Departamento Nacional de Planeación, Oficina del Alto Consejero para la Paz y Ministerio del Interior.
Mayo: Se elaboró la propuesta de formulación de la política pública la cual se encuentra en borrador para revisión del Departamento Nacional de Planeación, Oficina del Alto Consejero para la Paz y Ministerio del Interior. 
Junio: la propuesta de la política pública de la no estigmatización, ya se encuentra en revisión por parte de la Oficina Asesora Jurídica del Ministerio del Interior, para con ello iniciar la etapa de socialización con los 32 gobiernos territoriales en 1 encuentro nacional y 5 encuentros territoriales; para su promulgación estimada en el mes de diciembre 2021 con lo cual tendríamos un avance del 25% para el periodo.</t>
  </si>
  <si>
    <t>Para el segundo trimestre se tenían programadas dar cumplimiento a 17 actividades del proyecto de inversión  para el complimiento de la prioridad de las cuales solo fueron cumplidas en concordancia con la meta del trimestre solo 12,5 actividades.</t>
  </si>
  <si>
    <r>
      <rPr>
        <b/>
        <sz val="11"/>
        <color theme="1"/>
        <rFont val="Calibri"/>
        <family val="2"/>
        <scheme val="minor"/>
      </rPr>
      <t>Fecha de corte:</t>
    </r>
    <r>
      <rPr>
        <sz val="11"/>
        <color theme="1"/>
        <rFont val="Calibri"/>
        <family val="2"/>
        <scheme val="minor"/>
      </rPr>
      <t xml:space="preserve"> 30 de junio de 2021</t>
    </r>
  </si>
  <si>
    <r>
      <rPr>
        <b/>
        <sz val="11"/>
        <color theme="1"/>
        <rFont val="Calibri"/>
        <family val="2"/>
        <scheme val="minor"/>
      </rPr>
      <t>Fecha de informe:</t>
    </r>
    <r>
      <rPr>
        <sz val="11"/>
        <color theme="1"/>
        <rFont val="Calibri"/>
        <family val="2"/>
        <scheme val="minor"/>
      </rPr>
      <t xml:space="preserve"> Agosto de 2021</t>
    </r>
  </si>
  <si>
    <t>Avance 2021 - I trimestre</t>
  </si>
  <si>
    <t>Avance 2021 - II trimestre</t>
  </si>
  <si>
    <t>TOTAL CUATRIENIO</t>
  </si>
  <si>
    <t>Trazabilidad</t>
  </si>
  <si>
    <r>
      <rPr>
        <b/>
        <sz val="8"/>
        <rFont val="Calibri"/>
        <family val="2"/>
        <scheme val="minor"/>
      </rPr>
      <t xml:space="preserve">OAP 17.06.2021: </t>
    </r>
    <r>
      <rPr>
        <sz val="8"/>
        <rFont val="Calibri"/>
        <family val="2"/>
        <scheme val="minor"/>
      </rPr>
      <t>Se registran las metas anuales y cuatrienio para la iniciativa 3.1 y de la prioridad 3, todo ello de acuerdo con el correo remitido por la Subdirectora Administrativa de la Dirección Nacional de Derecho de Autor. El ajuste solicitado se aprueba en el Comité Sectorial de Gestión y Desempeño desarrollado el pasado 25 de Junio de 2021.</t>
    </r>
  </si>
  <si>
    <r>
      <rPr>
        <b/>
        <sz val="8"/>
        <rFont val="Calibri"/>
        <family val="2"/>
        <scheme val="minor"/>
      </rPr>
      <t>1.</t>
    </r>
    <r>
      <rPr>
        <sz val="8"/>
        <rFont val="Calibri"/>
        <family val="2"/>
        <scheme val="minor"/>
      </rPr>
      <t xml:space="preserve"> En el mes de enero de 2021 se realizaron un total de 6.009 inscripciones de obras, contratos y otros actos relacionados con el derecho de autor. </t>
    </r>
    <r>
      <rPr>
        <b/>
        <sz val="8"/>
        <rFont val="Calibri"/>
        <family val="2"/>
        <scheme val="minor"/>
      </rPr>
      <t>2.</t>
    </r>
    <r>
      <rPr>
        <sz val="8"/>
        <rFont val="Calibri"/>
        <family val="2"/>
        <scheme val="minor"/>
      </rPr>
      <t xml:space="preserve"> En el mes de febrero de 2021 se realizaron un total de 6.971 inscripciones de obras, contratos y otros actos relacionados con el derecho de autor. </t>
    </r>
    <r>
      <rPr>
        <b/>
        <sz val="8"/>
        <rFont val="Calibri"/>
        <family val="2"/>
        <scheme val="minor"/>
      </rPr>
      <t>3.</t>
    </r>
    <r>
      <rPr>
        <sz val="8"/>
        <rFont val="Calibri"/>
        <family val="2"/>
        <scheme val="minor"/>
      </rPr>
      <t xml:space="preserve"> En el mes de marzo de 2021 se realizaron un total de 7.039 inscripciones de obras, contratos y otros actos relacionados con el derecho de autor, para un total de 20.019 registros de derecho de autor inscritos ante la DNDA en el primer trimestre de esta anualidad. Las cifras de registros de obras, actos y contratos de derecho de autor evidenciadas en el primer trimestre de 2021 indican un avance positivo en la consecución de la meta establecida para dicha vigencia, esto es,  alcanzar 60.000 inscripciones en el Registro Nacional de Derecho de Autor.</t>
    </r>
  </si>
  <si>
    <r>
      <t>En el mes de</t>
    </r>
    <r>
      <rPr>
        <b/>
        <sz val="8"/>
        <rFont val="Calibri"/>
        <family val="2"/>
        <scheme val="minor"/>
      </rPr>
      <t xml:space="preserve"> </t>
    </r>
    <r>
      <rPr>
        <b/>
        <u/>
        <sz val="8"/>
        <rFont val="Calibri"/>
        <family val="2"/>
        <scheme val="minor"/>
      </rPr>
      <t>enero</t>
    </r>
    <r>
      <rPr>
        <b/>
        <sz val="8"/>
        <rFont val="Calibri"/>
        <family val="2"/>
        <scheme val="minor"/>
      </rPr>
      <t xml:space="preserve"> </t>
    </r>
    <r>
      <rPr>
        <sz val="8"/>
        <rFont val="Calibri"/>
        <family val="2"/>
        <scheme val="minor"/>
      </rPr>
      <t>de 2021, los días promedio que tomó la evaluación de riesgo realizada por la UNP fue de 86,55 días. Las 529  evaluaciones de riesgo realizadas por la Subdirección de Evaluación de Riesgo que va desde la solicitud de protección hasta la presentación del Grupo de Valoración Preliminar fue de 77 días y 22 evaluaciones de riesgo realizadas por la Subdirección Especializada de Seguridad y Protección que va desde la solicitud de protección hasta la presentación ante la preMesa Técnica fue de 316,227 días , es importante precisar que el número de casos presentados corresponden a las vigencias 2018 y 2019 en el marco del Plan de Descongestión y las que se ha venido adelantado de la vigencia 2020.
En el mes de</t>
    </r>
    <r>
      <rPr>
        <u/>
        <sz val="8"/>
        <rFont val="Calibri"/>
        <family val="2"/>
        <scheme val="minor"/>
      </rPr>
      <t xml:space="preserve"> </t>
    </r>
    <r>
      <rPr>
        <b/>
        <u/>
        <sz val="8"/>
        <rFont val="Calibri"/>
        <family val="2"/>
        <scheme val="minor"/>
      </rPr>
      <t>febrero</t>
    </r>
    <r>
      <rPr>
        <sz val="8"/>
        <rFont val="Calibri"/>
        <family val="2"/>
        <scheme val="minor"/>
      </rPr>
      <t xml:space="preserve"> de 2021, los días promedio que tomó la evaluación de riesgo realizada por la UNP fue de 81,71 días. Las 661  evaluaciones de riesgo realizadas por la Subdirección de Evaluación de Riesgo que va desde la solicitud de protección hasta la presentación del Grupo de Valoración Preliminar fue de 65,43 días y 32 evaluaciones de riesgo realizadas por la Subdirección Especializada de Seguridad y Protección que va desde la solicitud de protección hasta la presentación ante la preMesa Técnica fue de 418,03 días , es de señalar que en lo corrido del mes de febrero se ha venido avanzado con lo señalado en el Plan de Descongestión
En el mes de </t>
    </r>
    <r>
      <rPr>
        <b/>
        <u/>
        <sz val="8"/>
        <rFont val="Calibri"/>
        <family val="2"/>
        <scheme val="minor"/>
      </rPr>
      <t xml:space="preserve">marzo </t>
    </r>
    <r>
      <rPr>
        <sz val="8"/>
        <rFont val="Calibri"/>
        <family val="2"/>
        <scheme val="minor"/>
      </rPr>
      <t>de 2021, los días promedio que tomó la evaluación de riesgo realizada por la UNP fue de 94,67 días. Las 739 evaluaciones de riesgo realizadas por la Subdirección de Evaluación de Riesgo que va desde la solicitud de protección hasta la presentación del Grupo de Valoración Preliminar fue de 67 días y 102 evaluaciones de riesgo realizadas por la Subdirección Especializada de Seguridad y Protección que va desde la solicitud de protección hasta la presentación ante la preMesa Técnica fue de 295,18 días.</t>
    </r>
  </si>
  <si>
    <r>
      <t xml:space="preserve">En el mes de </t>
    </r>
    <r>
      <rPr>
        <b/>
        <sz val="8"/>
        <rFont val="Calibri"/>
        <family val="2"/>
        <scheme val="minor"/>
      </rPr>
      <t>abril</t>
    </r>
    <r>
      <rPr>
        <sz val="8"/>
        <rFont val="Calibri"/>
        <family val="2"/>
        <scheme val="minor"/>
      </rPr>
      <t xml:space="preserve"> de 2021, los días promedio que tomó la evaluación de riesgo realizada por la UNP fue de 92,96 días. Las 812 evaluaciones de riesgo realizadas por la Subdirección de Evaluación de Riesgo que va desde la solicitud de protección hasta la presentación del Grupo de Valoración Preliminar fue de 67,03 días y 93 evaluaciones de riesgo realizadas por la Subdirección Especializada de Seguridad y Protección que va desde la solicitud de protección hasta la presentación ante la preMesa Técnica fue de 319,38 días.                        
En </t>
    </r>
    <r>
      <rPr>
        <b/>
        <sz val="8"/>
        <rFont val="Calibri"/>
        <family val="2"/>
        <scheme val="minor"/>
      </rPr>
      <t>mayo</t>
    </r>
    <r>
      <rPr>
        <sz val="8"/>
        <rFont val="Calibri"/>
        <family val="2"/>
        <scheme val="minor"/>
      </rPr>
      <t xml:space="preserve"> de 2021, los días promedio que tomó la evaluación de riesgo realizada por la UNP fue de 85,94 días. Las 790 evaluaciones de riesgo realizadas por la Subdirección de Evaluación de Riesgo que va desde la solicitud de protección hasta la presentación del Grupo de Valoración Preliminar fue de 67 días y en el marco de atención al Plan de Descongestión y las órdenes de trabajo asignadas para la vigencia 2021, se logro dar atención 84 evaluaciones de riesgo realizadas por la Subdirección Especializada de Seguridad y Protección que va desde la solicitud de protección hasta la presentación ante la preMesa Técnica fue de 264,083 días.
Fuente: Subdirección de Evaluación del Riesgo/Subdirección Especializada de Seguridad y Protección.
En</t>
    </r>
    <r>
      <rPr>
        <b/>
        <sz val="8"/>
        <rFont val="Calibri"/>
        <family val="2"/>
        <scheme val="minor"/>
      </rPr>
      <t xml:space="preserve"> junio</t>
    </r>
    <r>
      <rPr>
        <sz val="8"/>
        <rFont val="Calibri"/>
        <family val="2"/>
        <scheme val="minor"/>
      </rPr>
      <t xml:space="preserve"> de 2021, los días promedio que tomó la evaluación de riesgo realizada por la UNP fue de 75,33 días. Las 893 evaluaciones de riesgo realizadas por la Subdirección de Evaluación de Riesgo que va desde la solicitud de protección hasta la presentación del Grupo de Valoración Preliminar fue de 63 días. En el marco de atención al Plan de Descongestión y las órdenes de trabajo asignadas para la vigencia 2021, realizadas por la Subdirección Especializada de Seguridad y Protección, se logro dar atención a 104 órdenes de trabajo en lo corrido del mes de junio hasta la instancia remisión a Mesa Técnica, que va desde la solicitud de protección hasta la presentación ante la preMesa Técnica fue de 181 días promedio
 Fuente: Subdirección de Evaluación del Riesgo/Subdirección Especializada de Seguridad y Protección.</t>
    </r>
  </si>
  <si>
    <r>
      <rPr>
        <b/>
        <u/>
        <sz val="8"/>
        <rFont val="Calibri"/>
        <family val="2"/>
        <scheme val="minor"/>
      </rPr>
      <t>ENERO:</t>
    </r>
    <r>
      <rPr>
        <sz val="8"/>
        <rFont val="Calibri"/>
        <family val="2"/>
        <scheme val="minor"/>
      </rPr>
      <t xml:space="preserve"> Las actividades planificadas para el mes de enero corresponden al componente administrativo, subcomponente gestión de partes interesadas a través del mecanismo de seguimiento y medición, en la cual consistieron en:
•Dar respuesta a PRRSD recibidas en el Periodo
•Remitir reporte para Presidencia
•Remitir reporte para seguimiento PAI
Logrando un cumplimiento al 100% de las actividades ejecutadas vs programada, permitiendo lograr el trámite de respuestas en los tiempos establecidos de las PQRSD allegadas al proyecto y así mismo en la remisión de reportes a presidencia y Plan de Acción Institucional.  
</t>
    </r>
    <r>
      <rPr>
        <b/>
        <u/>
        <sz val="8"/>
        <rFont val="Calibri"/>
        <family val="2"/>
        <scheme val="minor"/>
      </rPr>
      <t>Febrero</t>
    </r>
    <r>
      <rPr>
        <sz val="8"/>
        <rFont val="Calibri"/>
        <family val="2"/>
        <scheme val="minor"/>
      </rPr>
      <t xml:space="preserve">: FASE DE ALISTAMIENTO - COMPONENTE ADMINISTRATIVO
1.Conformación Equipo técnico Reingeniería 2021 
FASE DE IMPLEMENTACIÓN – COMPONENTE AMINISTRATIVO 
2.PQRSD Resueltas
3.Reporte SIGOB a Presidencia del mes de enero
4.Seguimiento mensual PDT REINGENIERIA
5.Actualización del Link de Transparencia
FASE DE MONITORIZACIÓN
6.Análisis Indicador Solicitudes de Protección actualizado
7.Análisis Indicador SINERGIA días de Evaluación del Riesgo actualizado.
Logrando un cumplimiento al 100% de las 7 actividades ejecutadas vs 7 programadas en los tiempos programados. De la fase de Alistamiento se conformó el equipo de enlaces de reingeniería con alcance a todas las dependencias de la entidad. De la fase de implementación, en relación con la gestión de partes interesadas se atendieron las PQRSD allegadas al proyecto  así como los reportes a Presidencia y Plan de Acción Institucional. También se actualizó el enlace de transparencia con el informe de gestión del proyecto de Reingeniería del mes de enero. 
</t>
    </r>
    <r>
      <rPr>
        <b/>
        <u/>
        <sz val="8"/>
        <rFont val="Calibri"/>
        <family val="2"/>
        <scheme val="minor"/>
      </rPr>
      <t>Marzo:</t>
    </r>
    <r>
      <rPr>
        <sz val="8"/>
        <rFont val="Calibri"/>
        <family val="2"/>
        <scheme val="minor"/>
      </rPr>
      <t xml:space="preserve"> Para el mes de marzo se planificaron las 10 actividades referidas en el numeral 5, durante el periodo fueron reprogramadas las actividades 92 y 109, lo cual se detalla en el numeral 7.5.1. ACTIVIDADES REPROGRAMADAS EN EL PERIODO Las 8 actividades ejecutadas en el periodo (1,3,5, 85, 111, 112, 113 y 114) tuvieron un nivel de ejecución en promedio del 98.75%</t>
    </r>
  </si>
  <si>
    <r>
      <t xml:space="preserve">Durante el mes de </t>
    </r>
    <r>
      <rPr>
        <b/>
        <u/>
        <sz val="8"/>
        <rFont val="Calibri"/>
        <family val="2"/>
        <scheme val="minor"/>
      </rPr>
      <t>abril</t>
    </r>
    <r>
      <rPr>
        <sz val="8"/>
        <rFont val="Calibri"/>
        <family val="2"/>
        <scheme val="minor"/>
      </rPr>
      <t xml:space="preserve"> se ejecutaron siete (7) actividades que representan el 5% del total de actividades del plan detallado de reingeniería . De las ciento once (111) actividades del componente administrativo durante el periodo se ejecutaron seis (6) que representan el 5% del total. De las 6 actividades del componente tecnológico en el periodo se ejecutó una (1) representa el 17%. Durante el periodo no se ejecutaron actividades del componente jurídico. 
Para  </t>
    </r>
    <r>
      <rPr>
        <b/>
        <u/>
        <sz val="8"/>
        <rFont val="Calibri"/>
        <family val="2"/>
        <scheme val="minor"/>
      </rPr>
      <t>mayo</t>
    </r>
    <r>
      <rPr>
        <b/>
        <sz val="8"/>
        <rFont val="Calibri"/>
        <family val="2"/>
        <scheme val="minor"/>
      </rPr>
      <t xml:space="preserve"> se</t>
    </r>
    <r>
      <rPr>
        <sz val="8"/>
        <rFont val="Calibri"/>
        <family val="2"/>
        <scheme val="minor"/>
      </rPr>
      <t xml:space="preserve"> ejecutaron 40.55 actividades de las 45 actividades que se tenían programadas para el periodo obteniendo un porcentaje de avance de cumplimiento del 90.11%.  A nivel de componentes de las 45 actividades ejecutadas, 43 corresponden al componente administrativo, 1 al componente jurídico y 1 componente tecnológico .
Para </t>
    </r>
    <r>
      <rPr>
        <b/>
        <u/>
        <sz val="8"/>
        <rFont val="Calibri"/>
        <family val="2"/>
        <scheme val="minor"/>
      </rPr>
      <t>junio</t>
    </r>
    <r>
      <rPr>
        <sz val="8"/>
        <rFont val="Calibri"/>
        <family val="2"/>
        <scheme val="minor"/>
      </rPr>
      <t xml:space="preserve"> se programaron 27 actividades. 23 actividades se cumplieron al 100% y 4 tuvieron cumplimiento menor al 100% (actividad No. 22 con el 90%, actividad 51 con el 85%, actividad 92 con el 77% y la actividad 125 con el 50%) con un avance de cumplimiento de 26.02 actividades que representa un resultado al indicador del Plan detallado de Trabajo -PDT- en el mes de Junio del 96,37%.</t>
    </r>
  </si>
  <si>
    <r>
      <t>En</t>
    </r>
    <r>
      <rPr>
        <b/>
        <u/>
        <sz val="8"/>
        <rFont val="Calibri"/>
        <family val="2"/>
        <scheme val="minor"/>
      </rPr>
      <t xml:space="preserve"> enero </t>
    </r>
    <r>
      <rPr>
        <sz val="8"/>
        <rFont val="Calibri"/>
        <family val="2"/>
        <scheme val="minor"/>
      </rPr>
      <t xml:space="preserve">de 2021, se han recibido en la coordinación de implementación de medidas de protección, (167) actos administrativos que ordena implementar medidas colectivas, de los cuales se han implementado a satisfacción (120) actos administrativos, lo que representa un 71,86%.
En </t>
    </r>
    <r>
      <rPr>
        <b/>
        <u/>
        <sz val="8"/>
        <rFont val="Calibri"/>
        <family val="2"/>
        <scheme val="minor"/>
      </rPr>
      <t>febrero</t>
    </r>
    <r>
      <rPr>
        <sz val="8"/>
        <rFont val="Calibri"/>
        <family val="2"/>
        <scheme val="minor"/>
      </rPr>
      <t xml:space="preserve"> de 2021, se han recibido en la coordinación de implementación de medidas de protección, (144) actos administrativos que ordena implementar medidas colectivas, de los cuales se han implementado a satisfacción (108) actos administrativos, lo que representa un 75%.
En </t>
    </r>
    <r>
      <rPr>
        <b/>
        <u/>
        <sz val="8"/>
        <rFont val="Calibri"/>
        <family val="2"/>
        <scheme val="minor"/>
      </rPr>
      <t>marzo</t>
    </r>
    <r>
      <rPr>
        <sz val="8"/>
        <rFont val="Calibri"/>
        <family val="2"/>
        <scheme val="minor"/>
      </rPr>
      <t xml:space="preserve"> de 2021, se han recibido en la coordinación de implementación de medidas de protección, (152) actos administrativos que ordena implementar medidas colectivas, de los cuales se han implementado a satisfacción (108) actos administrativos, lo que representa un 71%.
Fuente: Subdirección de Protección y Subdirección Especializada</t>
    </r>
  </si>
  <si>
    <r>
      <t xml:space="preserve">En abril de </t>
    </r>
    <r>
      <rPr>
        <b/>
        <sz val="8"/>
        <rFont val="Calibri"/>
        <family val="2"/>
        <scheme val="minor"/>
      </rPr>
      <t>2021</t>
    </r>
    <r>
      <rPr>
        <sz val="8"/>
        <rFont val="Calibri"/>
        <family val="2"/>
        <scheme val="minor"/>
      </rPr>
      <t xml:space="preserve">, se han recibido en la coordinación de implementación de medidas de protección, (158) actos administrativos que ordena implementar medidas colectivas, de los cuales se han implementado a satisfacción (109) actos administrativos, lo que representa un 69%.
En </t>
    </r>
    <r>
      <rPr>
        <b/>
        <sz val="8"/>
        <rFont val="Calibri"/>
        <family val="2"/>
        <scheme val="minor"/>
      </rPr>
      <t>mayo</t>
    </r>
    <r>
      <rPr>
        <sz val="8"/>
        <rFont val="Calibri"/>
        <family val="2"/>
        <scheme val="minor"/>
      </rPr>
      <t xml:space="preserve"> de 2021, se han recibido en la coordinación de implementación de medidas de protección, (175) actos administrativos que ordena implementar medidas colectivas, de los cuales se han implementado a satisfacción (110) actos administrativos, lo que representa un 62,86%.
En </t>
    </r>
    <r>
      <rPr>
        <b/>
        <sz val="8"/>
        <rFont val="Calibri"/>
        <family val="2"/>
        <scheme val="minor"/>
      </rPr>
      <t>junio</t>
    </r>
    <r>
      <rPr>
        <sz val="8"/>
        <rFont val="Calibri"/>
        <family val="2"/>
        <scheme val="minor"/>
      </rPr>
      <t xml:space="preserve"> de 2021, se han recibido en la coordinación de implementación de medidas de protección, (164) actos administrativos que ordenan implementar medidas colectivas, de los cuales se han implementado a satisfacción (121) actos administrativos, lo que representa un 73,78%.
Fuente: Subdirección de Protección y Subdirección Especializada</t>
    </r>
  </si>
  <si>
    <r>
      <t xml:space="preserve">Para </t>
    </r>
    <r>
      <rPr>
        <b/>
        <u/>
        <sz val="8"/>
        <rFont val="Calibri"/>
        <family val="2"/>
        <scheme val="minor"/>
      </rPr>
      <t>Enero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COMPORTAMIENTO DE LAS PUBLICACIONES INTIMIDATORIAS Y LA AFECTACIÓN AL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Para  </t>
    </r>
    <r>
      <rPr>
        <b/>
        <u/>
        <sz val="8"/>
        <rFont val="Calibri"/>
        <family val="2"/>
        <scheme val="minor"/>
      </rPr>
      <t>febrero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PUBLICACIONES INTIMIDATORIAS DE LAS DENOMINADAS ÁGUILAS NEGRAS.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t>
    </r>
    <r>
      <rPr>
        <b/>
        <u/>
        <sz val="8"/>
        <rFont val="Calibri"/>
        <family val="2"/>
        <scheme val="minor"/>
      </rPr>
      <t>Marzo:</t>
    </r>
    <r>
      <rPr>
        <sz val="8"/>
        <rFont val="Calibri"/>
        <family val="2"/>
        <scheme val="minor"/>
      </rPr>
      <t xml:space="preserve"> El indicador del Grupo de Análisis Estratégico Poblacional -GAEP-, periodo
comprendido entre 01 al 31 de Marzo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LA MUJER EN EL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r>
  </si>
  <si>
    <r>
      <t xml:space="preserve">ENERO: Para el mes de enero del 2021 no se programaron actividades relacionadas con el Sistema Integrado de Gestión MIPG-SIG, debido que solo se recibió hasta el 29 de enero de 2021 el documento formal del avance alcanzado durante la vigencia 2020, lo cual no permitió plantear actividades concretas sobre el sistema integrado de gestión.
Por tal motivo, para este mes Enero 2021 el cumplimiento fue del 0%. En referencia al indicador Porcentaje de avance de las actividades del plan detallado de trabajo del sistema de gestión. </t>
    </r>
    <r>
      <rPr>
        <b/>
        <sz val="8"/>
        <rFont val="Calibri"/>
        <family val="2"/>
        <scheme val="minor"/>
      </rPr>
      <t xml:space="preserve">
FEBRERO: </t>
    </r>
    <r>
      <rPr>
        <sz val="8"/>
        <rFont val="Calibri"/>
        <family val="2"/>
        <scheme val="minor"/>
      </rPr>
      <t xml:space="preserve">Para el mes de febrero de 2021 se programaron 14 actividades relacionadas con el Sistema Integrado de Gestión y el Modelo Integrado de Planeación y Gestión, y se cumplieron en su totalidad 12 actividades, obteniendo un 85.71% de avance para el período.
</t>
    </r>
    <r>
      <rPr>
        <b/>
        <sz val="8"/>
        <rFont val="Calibri"/>
        <family val="2"/>
        <scheme val="minor"/>
      </rPr>
      <t xml:space="preserve">MARZO: </t>
    </r>
    <r>
      <rPr>
        <sz val="8"/>
        <rFont val="Calibri"/>
        <family val="2"/>
        <scheme val="minor"/>
      </rPr>
      <t xml:space="preserve">Se programaron 70 actividades relacionadas con el Sistema Integrado de Gestión y el Modelo Integrado de Planeación y Gestión, y se cumplieron en su totalidad 47 actividades, obteniendo un 67.14% de avance para el período. </t>
    </r>
  </si>
  <si>
    <r>
      <rPr>
        <sz val="8"/>
        <rFont val="Calibri"/>
        <family val="2"/>
        <scheme val="minor"/>
      </rPr>
      <t xml:space="preserve">Para el mes de </t>
    </r>
    <r>
      <rPr>
        <b/>
        <sz val="8"/>
        <rFont val="Calibri"/>
        <family val="2"/>
        <scheme val="minor"/>
      </rPr>
      <t>abril</t>
    </r>
    <r>
      <rPr>
        <sz val="8"/>
        <rFont val="Calibri"/>
        <family val="2"/>
        <scheme val="minor"/>
      </rPr>
      <t xml:space="preserve"> de 2021 se programaron 47 actividades relacionadas con el Sistema Integrado de Gestión y el Modelo Integrado de Planeación y Gestión, y se cumplieron en su totalidad 36 actividades, obteniendo un 76.60% de avance para el período. </t>
    </r>
    <r>
      <rPr>
        <b/>
        <sz val="8"/>
        <rFont val="Calibri"/>
        <family val="2"/>
        <scheme val="minor"/>
      </rPr>
      <t xml:space="preserve">
</t>
    </r>
    <r>
      <rPr>
        <sz val="8"/>
        <rFont val="Calibri"/>
        <family val="2"/>
        <scheme val="minor"/>
      </rPr>
      <t xml:space="preserve">Para el mes de </t>
    </r>
    <r>
      <rPr>
        <b/>
        <sz val="8"/>
        <rFont val="Calibri"/>
        <family val="2"/>
        <scheme val="minor"/>
      </rPr>
      <t xml:space="preserve">Mayo </t>
    </r>
    <r>
      <rPr>
        <sz val="8"/>
        <rFont val="Calibri"/>
        <family val="2"/>
        <scheme val="minor"/>
      </rPr>
      <t xml:space="preserve">de 2021 se programaron inicialmente 49 actividades relacionadas con el Sistema Integrado de Gestión y el Modelo Integrado de Planeación y Gestión, se reprogramaron 10 actividades, quedando programadas para el mes de Mayo 39 actividades, de las cuales se cumplieron en su totalidad 35 actividades, obteniendo un 89.74% de avance para el período. Se hace necesario aclarar de las 10 actividades reprogramadas incluyen actividades relacionadas con temas de ACOM de auditoria y Revisión por la Dirección, además de los temas relacionados con las salidas no conformes.
</t>
    </r>
    <r>
      <rPr>
        <b/>
        <sz val="8"/>
        <rFont val="Calibri"/>
        <family val="2"/>
        <scheme val="minor"/>
      </rPr>
      <t xml:space="preserve">
</t>
    </r>
    <r>
      <rPr>
        <sz val="8"/>
        <rFont val="Calibri"/>
        <family val="2"/>
        <scheme val="minor"/>
      </rPr>
      <t xml:space="preserve">Para el mes de </t>
    </r>
    <r>
      <rPr>
        <b/>
        <sz val="8"/>
        <rFont val="Calibri"/>
        <family val="2"/>
        <scheme val="minor"/>
      </rPr>
      <t>Junio</t>
    </r>
    <r>
      <rPr>
        <sz val="8"/>
        <rFont val="Calibri"/>
        <family val="2"/>
        <scheme val="minor"/>
      </rPr>
      <t xml:space="preserve"> de 2021 se programaron inicialmente 55 actividades relacionadas con el Sistema Integrado de Gestión y el Modelo Integrado de Planeación y Gestión, de las cuales se cumplieron en su totalidad 50 actividades, obteniendo un 90.91% de avance para el período. Se hace necesario aclarar de las 5 actividades pendientes incluyen actividades relacionadas con temas de ACOM de Salidas no conformes y el proceso de contratación del ente certificador.</t>
    </r>
  </si>
  <si>
    <t>No requiere reporte</t>
  </si>
  <si>
    <t>No se reportó avance</t>
  </si>
  <si>
    <t>No aplica, no hay meta</t>
  </si>
  <si>
    <t>Se tienen identificados los cabildos a beneficiar en la Vigencia 2021. Se espera que en el segundo semestre del año 2021 puedan vincularse los profesionales idóneos para llevar a cabo las acciones precontractuales que den cumplimiento a la incorporación de los planes de vida.</t>
  </si>
  <si>
    <t>Se realizó el registro y actualización del proyecto de  Inversión "Consolidación de las acciones para la gestión social del riesgo por flujo de lodo (Avalancha), en los departamentos de Cauca y Huila" en el aplicativo SUIFP (Sistema Unificado de Inversión y Finanzas públicas) del Departamento Nacional de Planeación, ajustando los costos del proyecto para el año 2021, y sus respectivas metas e indicadores relacionados.</t>
  </si>
  <si>
    <t>Se realizó la contratación de los diferentes proyectos establecidos por las áreas misionales, con un avance en compromisos para el corte a 30 de junio de 2021 en un porcentaje de 72,28%, y un valor por pagos en 30,25% correspondiente a los anticipos desembolsados para el inicio de las obras.</t>
  </si>
  <si>
    <t>Se realizó el reporte en el Aplicativo SPI del proyecto de inversión adelantado por la Corporación Nasa Kiwe, dentro de los tiempos y plazos establecidos para su registro por parte de DNP al corte 30 de junio de 2021</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</si>
  <si>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</si>
  <si>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 de igual forma se recibieron 25 equipos de autocontenido que posterior a la adquisición de otros bienes en proceso harán parte de kits de fortalecimiento en proceso de entrega.</t>
  </si>
  <si>
    <t xml:space="preserve">Durante el segundo trimestre de la vigencia, de los cuerpos de bomberos con seguimiento realizado a la fecha se adelantaron actividades de verificación de condiciones y sus consecuentes planes de mejora. Se adelantaron capacitaciones a cuerpos de bomberos de 23 departamentos en buenas prácticas administrativas y financieras con el fin de complementar el acompañamiento y asesoría en temas de operación de estas instituciones. </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</si>
  <si>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</si>
  <si>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Se han brindado asesoría en temas de educación nacional,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</si>
  <si>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</si>
  <si>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1. Durante el mes de abril de 2021 se realizaron un total de 7054 inscripciones de obras, contratos y otros actos relacionados con el derecho de autor. 2. Durante el mes de mayo de 2021 se realizaron un total de 7479 inscripciones de obras, contratos y otros actos relacionados con el derecho de autor. 3. Durante el mes de junio de 2021 se realizaron un total de 8.308 inscripciones de obras, contratos y otros actos relacionados con el derecho de autor. Las cifras de registro de obras, actos y contratos de derecho de autor evidenciadas en el segundo trimestre de 2021 indican un avance satisfactorio en la consecución de la meta establecida para la vigencia, valga decir, alcanzar un número de 60.000 registros de derecho de autor en el año 2021.</t>
  </si>
  <si>
    <t>Las  actividades previstas a implementar por parte de la D.N.D.A. se ha han tramitado en su totalidad, el resultado dependerá de las acciones del Ministerio del Interior que como cabeza de sector, ejecute o solicite al DAFP, al D.N.P y al Ministerio de Hacienda.</t>
  </si>
  <si>
    <t>A la fecha se han desarrollado 4 informes y un visualizador evolución producción normativa BI. Informes realizados para apoyar la mejor normativa del país</t>
  </si>
  <si>
    <r>
      <t xml:space="preserve">En </t>
    </r>
    <r>
      <rPr>
        <b/>
        <sz val="8"/>
        <rFont val="Calibri"/>
        <family val="2"/>
        <scheme val="minor"/>
      </rPr>
      <t>abril</t>
    </r>
    <r>
      <rPr>
        <sz val="8"/>
        <rFont val="Calibri"/>
        <family val="2"/>
        <scheme val="minor"/>
      </rPr>
      <t xml:space="preserv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SITUACIÓN Y CARACTERÍSTICAS DEL ANÁLISIS DE RIESGO COLECTIVO EN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mayo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ACTIVIDAD DE PREVENCIÓN EN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junio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REGIÓN DE HUILA, CAQUETÁ Y PUTUMAYO.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Es importante precisar que a junio se tienen acumulados 6  un municipio con diagnóstico focalizado de riesgo.</t>
    </r>
  </si>
  <si>
    <t>•	Se analizó el Índice de Desempeño Institucional de la entidad publicado en el micrositio del DAFP.  
•	Se socializó en sesión del Comité Institucional de Control Interno del 28 de Junio los resultados a nivel  consolidado de la UNP y detallado por política.
•	Se clasificaron las políticas de acuerdo con el Índice de Desempeño Institucional, el número de recomendaciones FURAG 202O y el análisis de su crecimiento o disminución frente a las recomendaciones de FURAG 2019.
•	Se analizaron las recomendaciones identificando las recomendaciones reiterativas en varias políticas a fin de priorizarlas
•Se identificaron los aspectos claves que deben ser priorizados en los planes de mejora ya que se mencionan de manera transversal en las recomendaciones
•Se definió y remitió mediante MEM el plan de choque para la elaboración del Plan de Mejoramiento.
•Se agendaron las sesiones de la Comisión Transversal MIPG-SIG para la asesoría en la formulación de los planes de mejora.</t>
  </si>
  <si>
    <t>Se redactaron los 4  documentos precontractuales ficha técnica, estudios previos y análisis del sector de dos (2) Proyectos 
Se adelantó el proceso de contratación parte del equipo técnico para la ejecución del Banco de Proyectos. Junio.  Se redactaron los  documentos precontractuales ficha técnica, estudios previos y análisis del sector de dos (2) Proyectos denominados: fortalecimiento a consejos comunitarios y wifi comunitario. entrega simbólica de $12 mil millones de pesos que serán entregados a ICETEX en el marco del FECECN y se informó a esta Dirección que se tramitaría el proyecto placa huella, con aporte desde DACNARP de $20 mil millones
1 informe referente a los proyectos aprobados y cofinanciados durante la vigencia 2020 en relación a la estrategia "El Poder de las 3 Es"
1 análisis a la ejecución presupuestal de todos los proyectos cofinanciados, relacionando los desembolsos, fechas de pago y valor total de reintegro por parte de la Corporación Colombia Internacional - CCI, a la NACIÓN.
3 reuniones de seguimiento para la entrega del aplicativo web diseñado por parte de CCI 
1 Contrato Interadministrativo No. 935 de 2021 con la empresa TELECAFE, de operación logística
19 eventos de fortalecimiento organizativo a diversas formas y expresiones organizativas de las comunidades NARP, beneficiando aproximadamente a 2,100 personas, con una inversión cercana a los $1.800.000.000 mcte
41 eventos de fortalecimiento organizativo a diversas formas y expresiones organizativas de las comunidades NARP, beneficiando aproximadamente a 3,970 personas, con una inversión cercana a los $2.200.000.000 mcte</t>
  </si>
  <si>
    <t xml:space="preserve">2 capacitaciones virtuales, con consejos comunitarios y Organizaciones de Base en el departamento del Choco. ley 2056 de 2020
1 fortalecimiento y análisis de las acciones de en materia de derechos humanos 
1 mesa de trabajo con el Departamento Nacional de Planeación -DNP- la hoja de vida del indicador  a la acción 1.42 del CONPES ejes acciones que prorrogan la Ley 1448 de 2011 . 
1 mesa de trabajo técnica de evaluación de  los criterios y análisis  a la definición de criterios de la política de catastro.
Se realizaron acciones con el fin de garantizar el cumplimiento del 100%  se desagregan así;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power point del  tablero a presentar por  a la oficina de OIPI                                                           
1 Simposio de Observatorios de Derechos Humanos y derechos internacional Humanitario" </t>
  </si>
  <si>
    <t xml:space="preserve"> 7 conflictos atendidos, discusión territorial, del Consejo Comunitario de Guayabal (Quibdó- Choco),gobernabilidad del Consejo Comunitario de Bahía Cupica (Choco), mesa de diálogo de Cartagena
7 SOLICITUDES DE FORTALECIMIENTO INSTITUCIONAL EN TERRITORIOS, Municipio De Apartado, Municipio Yumbo
Municipio Buenaventura, Municipio Tulua, Municipio Zarzal
Municipio Pradera, Asamblea Del Valle.1 acompañando los espacios de dialogo con los jóvenes pacto Colombia con la juventudes
1 encuentro articulado DACNARP y CORPOAFRO, experiencia en la construcción de plan de vida Aportes a la convivencia y la paz desde las comunidades étnicas.  5 Conflictos atendidos, presidente del consejo comunitario de Guayabal.
1  convocatoria y agenda a la cancillería y países miembro de la CAN.  Se construye matriz POA del presente año y se envía a los países miembro.  
1 reunión técnica entre el grupo de mujeres de la DACNARP y UNFPA. trabajo con mujeres en la isla de San Andrés.
1 encuentro articulado DACNARP y CORPOAFRO, experiencia en la construcción de plan de vida como organización, Aportes a la convivencia y la paz desde las comunidades étnicas</t>
  </si>
  <si>
    <t>Para la presente vigencia se proyectaron respuestas frente a cuarenta y tres (43) acciones de tutela interpuestas. Se tramitaron 467 PQRSD en el marco de solicitudes de certificación, registro y actualizaciones. también, peticiones varias.
Para la presente vigencia se proyectaron 100 CERTIFICACIONES 32 RESOLUCIONES Inscripción y/o actualización y certificación, del Registro público único nacional de Consejos Comunitarios, formas y expresiones organizativas, y organizaciones de base de las comunidades negras, afrocolombianas, raizales y palenqueras.
Para la presente vigencia se realizaron Veinte 20 Fortalecimientos organizativo frente a la Legislación étnica  para  Consejos Comunitarios, Formas y Expresiones  Organizativas y Organizaciones de Base de las Comunidades  NARP en el marco de la implementación del Decreto 1640 de 2020.
Se trabajan los formatos de tramitología que realiza la Dirección y a través de los cuales se implementara la plataforma a través de la cual se implementara la modernización del Registro Publico Único Nacional. Decreto 1640 de 2020.
Se revisan cada uno de los formatos aprobados para cada tramite de certificación, actualización e inscripción y se establece la ruta a seguir en el marco del cronograma propuesto en el mes de enero para avanzar con la modernización del Registro Publico Único Nacional. se establecen tareas para el área de sistemas y archivo documental.
Se recibió por parte de la consejería presidencial invitación al encuentro nacional RODHI 2020, cuyo objetivo era la presentación de los informes de la RODHI  en el evento nacional de la red de observatorios de derechos humanos y DIH - ROIDHI ( cierre 2020) en el cual se envío por parte de OCDR insumos y acciones adelantadas en el año 2020  con el fin de socializarlo en el encuentro nacional.  Se estudio lo casos allegados al correo del observatorio cuyo objetivo es documentar los presuntos casos de discriminación allegados a la dirección a fin de adelantar las acciones pertinentes ya sea a petición de parte o de oficio.
articular el trabajo entre la CPDDHH y el Observatorio Contra la Discriminación Racial y El Racismo de MinInterior, para responder al indicador del Plan Nacional de Desarrollo en el punto de fortalecimiento al Observatorio Contra la Discriminación Racial y El Racismo de MinInterior.  Se participo de reunión con el equipo de gestión del conocimiento a fin de presentar al OCDR  los dos objetivos de consolidación de los observatorios de investigación en el cual presentan una estrategia analítica de recolección de insumos y datos e implementación de una plataforma con el propósito de difundir y socializar las acciones hechas por parte del OCDR.  Se analiza la viabilidad de crear alianzas estratégicas con SENA , CAMARA DE COMERCIO UNIVERSIDADES ,MEDIOS DE COMUNICACIONES (PERIODICOS- TELEVISION - REDES SOCIALES) INCOTEC ( campaña de regulación del decálogo de buenas practicas)Y DIFERENTES FUNDACIONES con el fin de adelantar acciones y campañas tendientes a mitigar el fenómeno de discriminación en Colombia.
Se recibió propuesta  concerniente al proceso de la plataforma web, que se encuentra en el marco del proyecto que se está desarrollando entre el Ministerio del Interior - Dirección de Comunidades  Negras y Zabala Consultan- llamado “Construcción participativa de lineamientos de política pública para la erradicación del racismo y la discriminación de la población afrodescendiente en Colombia”. , cuyo objetivo es la creación de una  herramienta para el proceso de participación y denuncia de hechos o situaciones de racismo y discriminación racial que fortalecerá de esta manera al Observatorio Contra la Discriminación racial de la dirección de comunidades negras .
Se reviso documento correspondiente al MAPA DE RIESGO DE VULNERACIÓN DE DERECHOS HUMANOS DE LAS COMUNIDADES NEGRAS, AFROCOLOMBIANAS, RAIZALES Y PALENQUERAS Y DISCRIMINACIÓN RACIAL Y RACISMO, posterior a la debida corrección, realizada por la OIP, sobre el estilo del documento.  Se envío documento  a viceministro para su revisión y visto bueno el día 15 de mazo 2021.  Se desarrollo memorando de entendimiento que será firmado entre la secretaria de derechos humanos del ecuador y el ministerio del interior tiene como objetivo coordinar acciones en temas relacionados con la protección apoyo y progreso de la población afrodescendiente e intercambiar experiencias sobre programas y acciones que puedan llegar a ser comunes en la lucha contra la discriminación racial , normatividad, y políticas publicas.
Se revisó informe proyectado por el grupo observatorio contra la discriminación año 2020  -  análisis n° 1 - proyecto de ley pl 224 de 2019 cámara- con el fin de hacerle seguimiento al proyecto de ley mencionado en cual centra su estudio en el Certificado de Responsabilidad Étnica Empresarial; a lo cual, será de la competencia del Ministerio del Trabajo otorgarlo a las empresas que tengan vinculados mínimo el 10% de su planta laboral, en ‘’los niveles de dirección, supervisión y operación’’ a población indígena, negra, afrocolombiana, raizal, palenquera, Rom o gitana; desde esta perspectiva, se reflexiona  sobre la Acción afirmativa, Discriminación positiva o inversa, juicio de proporcionalidad de la Corte Constitucional, relacionado con el papel de responsabilidad que tienen las empresas como actores sociales. De esta manera se analiza la viabilidad de participar en el seguimiento y monitoreo a este proyecto de ley en favor de las comunidades por parte de OCDR.</t>
  </si>
  <si>
    <t xml:space="preserve">69 Resoluciones y 114 certificaciones frente a solicitudes de inscripción y/o actualización de los Consejos Comunitarios, organizaciones de base y formas o expresiones organizativas
Mayo. 1 reunión virtual de analítica avanzada en temas relacionados a tableros de trabajo del Grupo  Observatorio
Junio. 1 Simposio de Observatorios de Derechos Humanos y derechos internacional Humanitario" 37  Resoluciones y 59 certificaciones frente a solicitudes de inscripción y/o actualización de los Consejos Comunitarios, organizaciones de base y formas o expresiones organizativas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power point del  tablero a presentar por  a la oficina de OIPI                                                           
1 Simposio de Observatorios de Derechos Humanos y derechos internacional Humanitario" </t>
  </si>
  <si>
    <t>3 reuniones virtuales de socialización del Diagnóstico sobre la implementación de la cátedra de estudios afrocolombianos con las secretarias de educación  Nariño, Valle, y Boyacá. 
1 informe a los proyectos aprobados y cofinanciados durante la vigencia 2020 en relación a la estrategia "El Poder de las 3 Es"
3 los  documentos precontractuales ficha técnica, estudios previos y análisis del sector de (2) Proyectos denominados: fortalecimiento a consejos comunitarios y wifi comunitario. entrega simbólica de $12 mil millones de pesos que serán entregados a ICETEX en el marco del FECECN y se informó que se tramitaría el proyecto placa huella, con aporte desde DACNARP de $20 mil millones
Se recibieron 6235 Solicitudes de Autorreconocimiento. Aprobadas 3748 Rechazadas 2487.Se recibieron 108 Solicitudes de Cupos y Descuentos. Aprobadas 83 rechazadas 25.
Se recibieron 8511 Solicitudes de Autorreconocimiento. Aprobadas 5626 Rechazadas 2885.Se recibieron 269 Solicitudes de Cupos y Descuentos. Aprobadas 208 rechazadas 61.
Se recibieron 6614 Solicitudes de Autorreconocimiento. Aprobadas 4086 Rechazadas 2525.Se recibieron128  Solicitudes de Cupos y Descuentos. Aprobadas 74 rechazadas 32.</t>
  </si>
  <si>
    <t xml:space="preserve">Sesión virtual de seguimiento de la AT 008-21, CAS Sácama, La Salina, Támara, Aguazul Yopal BOY Pajarito, Paya y Pisba.  Se actualizo el registro de los reportes en la plataforma SIGOB-CIPRA. 
Misión humanitaria agua clara en el marco de los compromisos de la sentencia T 622 del 2016 y la alerta temprana emitida por la defensoría del pueblo 011 del 2018,CERREM COLECTIVO Consejo Comunitario ZANJON DE GARRAPATERO
3 Documentos de caracterización de los consejos comunitarios de Bajo Calima y Cajambre ubicados en Buenaventura, Valle del cauca.  Documentos Borrador de caracterización de los consejos comunitario de San Pablo, Nispero y correa Ubicados en el Municipio de María la baja, Bolívar 
Reinicio del comité de centro y seguimiento al cumplimiento de la sentencia de la corte constitucional T-329-17.
DOS PROTOCOLIZACION CONSEJO COMUNITARIO DE LA COMUNIDAD NEGRA GARRAPATERO SANTANDER DE QUILICHAO - CAUCA.DOS ( 2 ) PLANES  INTEGRALES  DE REPARACION COLECTIVA EN EL CONSEJO COMUNITARIO DE LA COMUNIDAD NEGRA PALMITAS EN  JAGUA DE IBIRICO - CESAR. PLAN INTEGRALES  DE REPARACION COLECTIVA EN EL CONSEJO COMUNITARIO DE LA COMUNIDAD NEGRA COACNEJA
PLAN I NTEGRAL DE REPARACIÓN COLECTIVA EN EL  CONSEJO COMUNITARIO DE LA COMUNIDAD NEGRA PALMITAS - COAFRATAS EN EL  JAGUA DE IBIRICO - CESAR </t>
  </si>
  <si>
    <t>SE continua trabajando en el borrador del Protocolo de Diálogo Social e intercultural con las dependencias del ministerio</t>
  </si>
  <si>
    <t>Durante el segundo trimestre se realizaron 3 actividades  con miras al cumplimiento de las acciones para la implementación de la Política Marco Abril 1. Se firmo el decreto CONSEC por parte de Mindefensa y Mininterior. Restando la firma de las demás entidades participantes. Se proyecta realizar la primera sesión de este Consejo en el mes de junio. En esta medida, se han emitido comunicaciones a las entidades con compromisos en la Política Marco,
Mayo 2. Se  realizaron acciones específicas reportadas, por parte de las entidades del orden nacional que tienen compromisos en la Política Marco de Seguridad y Convivencia Ciudadana.
Junio 3. Expedición el decreto 647 de 2021, el cual crea el Consejo Nacional de Seguridad y Convivencia Ciudadana. Ministerio de Defensa, Policía Nacional, DNP y Ministerio del Interior, nos encontramos en la definición de su reglamento.</t>
  </si>
  <si>
    <t>II Trimestre: Se realizó asistencia técnica y jurídica en el marco normativo comunal a 746 Organizaciones de Acción Comunal de la siguiente manera:  (4) con Visitas de Inspección Control y Vigilancia, (383) con formación en el marco jurídico, (359) con capacitaciones sobre el proceso de elecciones y 18 Entidades de Inspección Control y Vigilancia  para un total de 764. Abril: (186), Mayo: (428), Junio: (150)</t>
  </si>
  <si>
    <r>
      <rPr>
        <b/>
        <sz val="8"/>
        <rFont val="Calibri"/>
        <family val="2"/>
        <scheme val="minor"/>
      </rPr>
      <t>OAP 20.05.2021:</t>
    </r>
    <r>
      <rPr>
        <sz val="8"/>
        <rFont val="Calibri"/>
        <family val="2"/>
        <scheme val="minor"/>
      </rPr>
      <t xml:space="preserve"> De acuerdo con la solicitud realizada por la Directora mediante MEM2021-10491-DAL-3200 del 20 de mayo de 2021, se ajusta la programación de las metas de la prioridad para las vigencias 2021 y 2022 pasando del 70% al 50%. teniendo en cuenta la coyuntura que vive el país debido al Paro Nacional la agenda legislativa se ha visto alterada. El ajuste solicitado se aprueba en el Comité Sectorial de Gestión y Desempeño desarrollado el pasado 25 de Junio de 2021.</t>
    </r>
  </si>
  <si>
    <t xml:space="preserve">Fue radicado el  PL 341-20S Mesa de Moralización el cual  fue aprobado  en primer debate por la comisión primera del Senado de la Republica el 08 de junio de 2021, se encuentra pendiente de segundo debate en Plenaria  </t>
  </si>
  <si>
    <t>La Dirección de Gobierno implementó (63) asistencias técnicas a las entidades territoriales y miembros de Corporaciones Públicas en la Oferta Institucional del Sistema Administrativo del Interior  y la contratación de (30) enlaces territoriales con los cuales se brinda acompañamiento permanente en territorio como mecanismo de relacionamiento con autoridades territoriales y sus organizaciones.</t>
  </si>
  <si>
    <t>Durante el segundo trimestre del año se recibieron cinco Alertas Tempranas así: AT 009-21 SUC Ovejas, AT 010-21 Bogotá CUN Soacha, Sibaté, Mosquera, Funza, Cota, Chía, Sopo, La Calera, Guasca, Choachí́, Ubaque y Chipaque, AT 011-21 ANT, Angostura, Campamento, San Andrés de Cuerquía, Toledo, Yarumal, AT 012-21 MAG El Banco Guamal San Sebastián de Buenavista CES Tamalameque Chimichagua Astrea y AT 013-21 PUT, Orito, Puerto Asís, Puerto Caicedo, San Miguel, Valle del Guamuez.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t>
  </si>
  <si>
    <t>Alvaro de Jesus Echecverri
(Gerente Imprenta Nacional de Colombia)</t>
  </si>
  <si>
    <t>Alvaro de Jesus Echeverri
(Gerente Imprenta Nacional de Colombia)</t>
  </si>
  <si>
    <t xml:space="preserve">Lucía Margarita Soriano Espinel
(Dirección de Asuntos indígenas, ROM y Minorías </t>
  </si>
  <si>
    <t>Sandra Viviana Giraldo 
(Subdirección de Seguridad y Convivencia Ciudadana)</t>
  </si>
  <si>
    <t>Alexander Jaimes Medina
(Dirección de Derechos Humanos)</t>
  </si>
  <si>
    <t>En el tercer trimestre de 2021, se suscribieron contratos para la adquisición de Compresores de recarga de aire para fotalecer 20 cuerpos de bomberos, adquisicion de equipos de rescate vertical y herramientas para la atencion de incendios forestales y operaciones de rescate para 28 cuerpos de bomberos, adquisición de herramientas de rescate vehicular para 19 cuerpos de bomberos y adquisición de equipos de protección personal para 39 cuerpos de bomberos; se reportará el avance cuantitativo una vez el bien sea recibido por la entidad.</t>
  </si>
  <si>
    <t>Los procesos de contratación de adquisición de equipos especializados y herramientas para la atención de emergencias con los cuales se fortalecerán a los cuerpos de bomberos del país, por ser equipos con características técnicas especializadas que requieren surtir procesos de importanción aún no han sido recibidas por la entidad, razón por la cual el avance cuantitativo de la prioridad presenta rezago.</t>
  </si>
  <si>
    <t>En el tercer trimestre de 2021, se realizó seguimiento y verificación de las condiciones de operatividad de 9 cuerpos de bomberos de igual forma se asesoró en la formulación de 9 planes de mejora. Se adelantaron dos capacitaciones de Buenas Prácticas por aplazamientos de Cuerpos de Bomberos, los departamentos capacitados fueron Cauca y Vichada con 36 Unidades Bomberiles.</t>
  </si>
  <si>
    <t>Se capacitaron en el trimestre 33 Cuerpos de Bomberos en el uso del Sistema de Registro Único de Estadísticas de Bomberos - RUE.</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</si>
  <si>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En Temas de Educación Nacional para Bomberos:
(01) Asesoria para reconocimiento como centro de entrenamiento de brigadas contra incendio (CBO Bucaramanga)
(02) Asesoría para reconocimiento como Escuela de Formación para Bomberos (CB Tulúa y Duitama)
(04) Socializaciones del proceso de Educación Nacional para Bomberos a los Cuerpos de Bomberos de los Departamentos de Quindio,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otra parte bajo el proceso de formulación, actualización y acompañamiento normativo y operativo,  se han celebrado 3 mesas de trabajo de modificación de la Ley 1575 de 2012 con las organizaciones sindicales, 2 mesas de concertación de asuntos Bomberiles referidos a: escala salaria especial, pensión especial y prima de riesgos por la labor desarrollada de igual forma con las organizaciones sindicales., se gestionaro 195 PQRSD en temas bomberiles. se generaron 47 requerimientos a Cuerpos de Bomberos, 7 asesorias a Cuerpos de Bomberos Oficiales, 27 requerimientos a entes territoriales 35 asesorias en temáticas misionales. 
</t>
  </si>
  <si>
    <t>Los procesos de contratación de adquisición de equipos especializados y herramientas para la atención de emergencias con los cuales se fortalecerán a los cuerpos de bomberos del país, por ser equipos con características técnicas especializadas que requieren surtir procesos de importanción aún no han sido recibidas por la entidad, razón por la cual el avance cuantitativo de la prioridad presenta rezago en la vigencia.</t>
  </si>
  <si>
    <t>Para el tercer trimestre de la vigencia 2021, la Central de Informática y Telecomunicaciones en articulación con la sala situacional como proceso de Coordinación operativa, registró la información de eventos reportados por los Cuerpos de Bomberos del País, los cuales suman 41.136 para el periodo que se informa, de igual manera se prestó el apoyo requerido para la coordinación en la  prestación del servicio: Los apoyos técnico gestionados fueron:
7 Apoyos aéreos - balde colapsible, sobre vuelo y traslado de personal
4 Movilizaciones de personal.</t>
  </si>
  <si>
    <t>Ninguna</t>
  </si>
  <si>
    <t>Dentro de las acciones desarrolladas a 30 de septiembre de 2021 para dar cumplimiento  a la implementación de la Política Pública Bomberil en el país, la Dirección Nacional de Bomberos,  ha brindado soporte técnico, jurídico y adminstrativo, es así como se presentan los siguientes avance: 
En temas de Educación Nacional para Bomberos 
(01) Asesoria para reconocimiento como centro de entrenamiento de brigadas contra incendio (CBO Bucaramanga)
(02) Asesoría para reconocimiento como Escuela de Formación para Bomberos (CB Tulúa y Duitama)
(04) Socializaciones del proceso de Educación Nacional para Bomberos a los Cuerpos de Bomberos de los Departamentos de Quindio,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igual forma se ha prestado apoyo en la implementación de políticas y reglamentos de orden técnico, administrativo y operativo, soportados en la formulación de estrategias,planes y programas desde la gestión adminitrativa soportando de esta forma la gestión de los bines y servicios que se brindan a los Cuerpos de Bomberos del País desde la institución.</t>
  </si>
  <si>
    <t xml:space="preserve">En el tercer trimestre de la vigencia se suscribieron los siguientes convenios en el marco de los Programas Nacionales y las Plataformas especializadas para gestionar conocimiento en los Cuerpos de Bombereos del país:
Convenio con Cuerpo de Bomberos de Riosucio: para capacitar y preparar para la respuesta ante incendios forestales a través de la transferencia de conocimiento de la “buena práctica bomberos indígenas para la prevención, atención y recuperación de zonas afectadas por incendios forestales.
Convenio con el Cuerpo de Bomberos de Yopal,  anuar esfuerzos academicos y administrativos en la gestion integral del riesgo contra incendios.
Convenio con el Cuerpo de Bomberos voluntarios de Bogotá: para consolidar el programa nacional de sistemas de aeronavegacion remotamente tripuladas a nivel nacional y las operaciones UAS en gestion de riesgo de desastres de los bomberos de Colombia.
Los anteriores convenios se encuentran en fases de aproximación con las partes interesadas, de diseño de talleres, levantamiento de inventario de recursos y mesas de trabajo de operaciones, la fase de ejecución de cursos y capacitaciones se inicia en el último trimestre de la vigencia, razón por la cual el avance cuantitativo del indicador se reportará en el siguiente periodo.
</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</si>
  <si>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Bajo el proceso de formulación, actualización y acompañamiento normativo y operativo,  se han celebrado 3 mesas de trabajo de modificación de la Ley 1575 de 2012 con las organizaciones sindicales, 2 mesas de concertación de asuntos Bomberiles con organizaciones sindicales referidos a: escala salaria especial, pensión especial y prima de riesgos por la labor desarrollada. Se gestionaron 195 PQRSD en temas bomberiles. se generaron 47 requerimientos a Cuerpos de Bomberos, 7 asesorias a Cuerpos de Bomberos Oficiales, 27 requerimientos a entes territoriales, 35 asesorias en temáticas misionales. 
De igual forma se ha prestado apoyo en la implementación de políticas y reglamentos de orden técnico, administrativo y operativo, soportados en la formulación de estrategias,planes y programas desde la gestión administrativa soportando de esta forma la gestión de los bienes y servicios que se brindan a los Cuerpos de Bomberos del País desde la institución.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</si>
</sst>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0.0%"/>
    <numFmt numFmtId="166" formatCode="&quot;$&quot;\ #,##0"/>
    <numFmt numFmtId="167" formatCode="_(&quot;$&quot;\ * #,##0_);_(&quot;$&quot;\ * \(#,##0\);_(&quot;$&quot;\ * &quot;-&quot;??_);_(@_)"/>
    <numFmt numFmtId="168" formatCode="[$$-240A]\ #,##0"/>
    <numFmt numFmtId="169" formatCode="_-* #,##0_-;\-* #,##0_-;_-* &quot;-&quot;_-;_-@"/>
    <numFmt numFmtId="170" formatCode="_(* #,##0.00_);_(* \(#,##0.00\);_(* &quot;-&quot;??_);_(@_)"/>
    <numFmt numFmtId="171" formatCode="_-* #,##0_-;\-* #,##0_-;_-* &quot;-&quot;??_-;_-@_-"/>
    <numFmt numFmtId="172" formatCode="[$$-240A]#,##0.00"/>
    <numFmt numFmtId="173" formatCode="0.0"/>
    <numFmt numFmtId="174" formatCode="0.00000"/>
    <numFmt numFmtId="175" formatCode="_-[$$-240A]\ * #,##0.00_-;\-[$$-240A]\ * #,##0.00_-;_-[$$-240A]\ * &quot;-&quot;??_-;_-@_-"/>
    <numFmt numFmtId="176" formatCode="_-&quot;$&quot;\ * #,##0_-;\-&quot;$&quot;\ * #,##0_-;_-&quot;$&quot;\ * &quot;-&quot;??_-;_-@_-"/>
    <numFmt numFmtId="177" formatCode="_-* #,##0.00_-;\-* #,##0.00_-;_-* &quot;-&quot;_-;_-@_-"/>
    <numFmt numFmtId="178" formatCode="&quot;$&quot;#,##0"/>
    <numFmt numFmtId="179" formatCode="_-&quot;XDR&quot;* #,##0.00_-;\-&quot;XDR&quot;* #,##0.00_-;_-&quot;XDR&quot;* &quot;-&quot;??_-;_-@_-"/>
  </numFmts>
  <fonts count="3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4"/>
      <color theme="0"/>
      <name val="Calibri"/>
      <family val="2"/>
      <scheme val="minor"/>
    </font>
    <font>
      <b/>
      <sz val="14"/>
      <color theme="1"/>
      <name val="Calibri"/>
      <family val="2"/>
      <scheme val="minor"/>
    </font>
    <font>
      <b/>
      <sz val="12"/>
      <color theme="1"/>
      <name val="Calibri"/>
      <family val="2"/>
      <scheme val="minor"/>
    </font>
    <font>
      <sz val="11"/>
      <color theme="1"/>
      <name val="Calibri"/>
      <family val="2"/>
    </font>
    <font>
      <b/>
      <sz val="18"/>
      <color theme="0"/>
      <name val="Calibri"/>
      <family val="2"/>
    </font>
    <font>
      <b/>
      <sz val="10"/>
      <color theme="1"/>
      <name val="Calibri"/>
      <family val="2"/>
    </font>
    <font>
      <b/>
      <sz val="10"/>
      <color rgb="FF1F3864"/>
      <name val="Calibri"/>
      <family val="2"/>
    </font>
    <font>
      <sz val="11"/>
      <color rgb="FF000000"/>
      <name val="Calibri"/>
      <family val="2"/>
      <scheme val="minor"/>
    </font>
    <font>
      <sz val="8"/>
      <name val="Calibri"/>
      <family val="2"/>
      <scheme val="minor"/>
    </font>
    <font>
      <b/>
      <sz val="10"/>
      <color theme="0"/>
      <name val="Calibri"/>
      <family val="2"/>
    </font>
    <font>
      <b/>
      <sz val="10"/>
      <name val="Calibri"/>
      <family val="2"/>
    </font>
    <font>
      <sz val="8"/>
      <color theme="1"/>
      <name val="Calibri"/>
      <family val="2"/>
      <scheme val="minor"/>
    </font>
    <font>
      <sz val="8"/>
      <color theme="1"/>
      <name val="Calibri"/>
      <family val="2"/>
    </font>
    <font>
      <b/>
      <sz val="8"/>
      <color rgb="FF1F3864"/>
      <name val="Calibri"/>
      <family val="2"/>
    </font>
    <font>
      <b/>
      <sz val="8"/>
      <color theme="0"/>
      <name val="Calibri"/>
      <family val="2"/>
    </font>
    <font>
      <sz val="10"/>
      <name val="Arial"/>
      <family val="2"/>
    </font>
    <font>
      <sz val="11"/>
      <color theme="0"/>
      <name val="Calibri"/>
      <family val="2"/>
    </font>
    <font>
      <sz val="11"/>
      <color theme="1"/>
      <name val="Calibri Light"/>
      <family val="2"/>
      <scheme val="major"/>
    </font>
    <font>
      <b/>
      <sz val="11"/>
      <color theme="0"/>
      <name val="Calibri"/>
      <family val="2"/>
    </font>
    <font>
      <b/>
      <sz val="12"/>
      <color theme="1"/>
      <name val="Calibri"/>
      <family val="2"/>
    </font>
    <font>
      <b/>
      <sz val="18"/>
      <color theme="0"/>
      <name val="Calibri"/>
      <family val="2"/>
      <scheme val="minor"/>
    </font>
    <font>
      <b/>
      <sz val="8"/>
      <color theme="1"/>
      <name val="Calibri"/>
      <family val="2"/>
    </font>
    <font>
      <sz val="8"/>
      <name val="Arial"/>
      <family val="2"/>
    </font>
    <font>
      <sz val="18"/>
      <color theme="1"/>
      <name val="Calibri"/>
      <family val="2"/>
    </font>
    <font>
      <b/>
      <sz val="12"/>
      <color rgb="FF000000"/>
      <name val="Calibri"/>
      <family val="2"/>
    </font>
    <font>
      <b/>
      <sz val="12"/>
      <color theme="0"/>
      <name val="Calibri"/>
      <family val="2"/>
    </font>
    <font>
      <sz val="12"/>
      <color theme="1"/>
      <name val="Calibri Light"/>
      <family val="2"/>
      <scheme val="major"/>
    </font>
    <font>
      <b/>
      <sz val="8"/>
      <name val="Calibri"/>
      <family val="2"/>
      <scheme val="minor"/>
    </font>
    <font>
      <u/>
      <sz val="8"/>
      <name val="Calibri"/>
      <family val="2"/>
      <scheme val="minor"/>
    </font>
    <font>
      <b/>
      <u/>
      <sz val="8"/>
      <name val="Calibri"/>
      <family val="2"/>
      <scheme val="minor"/>
    </font>
  </fonts>
  <fills count="39">
    <fill>
      <patternFill patternType="none"/>
    </fill>
    <fill>
      <patternFill patternType="gray125"/>
    </fill>
    <fill>
      <patternFill patternType="solid">
        <fgColor theme="8"/>
        <bgColor indexed="64"/>
      </patternFill>
    </fill>
    <fill>
      <patternFill patternType="solid">
        <fgColor theme="0" tint="-0.249977111117893"/>
        <bgColor indexed="64"/>
      </patternFill>
    </fill>
    <fill>
      <patternFill patternType="solid">
        <fgColor rgb="FF2F5496"/>
        <bgColor rgb="FF2F5496"/>
      </patternFill>
    </fill>
    <fill>
      <patternFill patternType="solid">
        <fgColor theme="0"/>
        <bgColor theme="0"/>
      </patternFill>
    </fill>
    <fill>
      <patternFill patternType="solid">
        <fgColor rgb="FF8EAADB"/>
        <bgColor rgb="FF8EAADB"/>
      </patternFill>
    </fill>
    <fill>
      <patternFill patternType="solid">
        <fgColor rgb="FF548135"/>
        <bgColor rgb="FF548135"/>
      </patternFill>
    </fill>
    <fill>
      <patternFill patternType="solid">
        <fgColor rgb="FFFFE598"/>
        <bgColor rgb="FFFFE598"/>
      </patternFill>
    </fill>
    <fill>
      <patternFill patternType="solid">
        <fgColor rgb="FFC55A11"/>
        <bgColor rgb="FFC55A11"/>
      </patternFill>
    </fill>
    <fill>
      <patternFill patternType="solid">
        <fgColor rgb="FFA8D08D"/>
        <bgColor rgb="FFA8D08D"/>
      </patternFill>
    </fill>
    <fill>
      <patternFill patternType="solid">
        <fgColor rgb="FFF4B083"/>
        <bgColor rgb="FFF4B083"/>
      </patternFill>
    </fill>
    <fill>
      <patternFill patternType="solid">
        <fgColor theme="7"/>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FE598"/>
      </patternFill>
    </fill>
    <fill>
      <patternFill patternType="solid">
        <fgColor theme="4" tint="-0.249977111117893"/>
        <bgColor indexed="64"/>
      </patternFill>
    </fill>
    <fill>
      <patternFill patternType="solid">
        <fgColor theme="0"/>
        <bgColor rgb="FFF7CAAC"/>
      </patternFill>
    </fill>
    <fill>
      <patternFill patternType="solid">
        <fgColor theme="9" tint="-0.249977111117893"/>
        <bgColor rgb="FFA8D08D"/>
      </patternFill>
    </fill>
    <fill>
      <patternFill patternType="solid">
        <fgColor rgb="FFAEABAB"/>
        <bgColor rgb="FFAEABAB"/>
      </patternFill>
    </fill>
    <fill>
      <patternFill patternType="solid">
        <fgColor rgb="FFFFC000"/>
        <bgColor indexed="64"/>
      </patternFill>
    </fill>
    <fill>
      <patternFill patternType="solid">
        <fgColor theme="8"/>
        <bgColor theme="8"/>
      </patternFill>
    </fill>
    <fill>
      <patternFill patternType="solid">
        <fgColor rgb="FFFF0000"/>
        <bgColor rgb="FFFF0000"/>
      </patternFill>
    </fill>
    <fill>
      <patternFill patternType="solid">
        <fgColor rgb="FFFFFF00"/>
        <bgColor rgb="FFFFFF00"/>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rgb="FF26BC08"/>
        <bgColor theme="9"/>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7CAAC"/>
      </patternFill>
    </fill>
    <fill>
      <patternFill patternType="solid">
        <fgColor theme="7" tint="0.59999389629810485"/>
        <bgColor rgb="FFFFE598"/>
      </patternFill>
    </fill>
  </fills>
  <borders count="50">
    <border>
      <left/>
      <right/>
      <top/>
      <bottom/>
      <diagonal/>
    </border>
    <border>
      <left/>
      <right/>
      <top style="medium">
        <color auto="1"/>
      </top>
      <bottom style="medium">
        <color auto="1"/>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right/>
      <top style="thin">
        <color indexed="64"/>
      </top>
      <bottom style="thin">
        <color indexed="64"/>
      </bottom>
      <diagonal/>
    </border>
    <border>
      <left style="thin">
        <color rgb="FF000000"/>
      </left>
      <right/>
      <top style="thin">
        <color rgb="FF000000"/>
      </top>
      <bottom style="medium">
        <color theme="0"/>
      </bottom>
      <diagonal/>
    </border>
    <border>
      <left/>
      <right/>
      <top style="thin">
        <color rgb="FF000000"/>
      </top>
      <bottom style="medium">
        <color theme="0"/>
      </bottom>
      <diagonal/>
    </border>
    <border>
      <left/>
      <right style="thin">
        <color rgb="FF000000"/>
      </right>
      <top style="thin">
        <color rgb="FF000000"/>
      </top>
      <bottom style="medium">
        <color theme="0"/>
      </bottom>
      <diagonal/>
    </border>
    <border>
      <left/>
      <right style="thin">
        <color indexed="64"/>
      </right>
      <top/>
      <bottom style="thin">
        <color indexed="64"/>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style="thin">
        <color theme="0"/>
      </right>
      <top style="thin">
        <color theme="0"/>
      </top>
      <bottom style="thin">
        <color theme="0"/>
      </bottom>
      <diagonal/>
    </border>
    <border>
      <left/>
      <right style="thin">
        <color indexed="64"/>
      </right>
      <top style="thin">
        <color indexed="64"/>
      </top>
      <bottom/>
      <diagonal/>
    </border>
    <border>
      <left/>
      <right style="medium">
        <color rgb="FF1F3864"/>
      </right>
      <top style="medium">
        <color rgb="FF1F3864"/>
      </top>
      <bottom style="thin">
        <color rgb="FF1F3864"/>
      </bottom>
      <diagonal/>
    </border>
    <border>
      <left/>
      <right style="medium">
        <color rgb="FF1F3864"/>
      </right>
      <top style="thin">
        <color rgb="FF1F3864"/>
      </top>
      <bottom style="thin">
        <color rgb="FF1F3864"/>
      </bottom>
      <diagonal/>
    </border>
    <border>
      <left/>
      <right style="medium">
        <color rgb="FF1F3864"/>
      </right>
      <top style="thin">
        <color rgb="FF1F3864"/>
      </top>
      <bottom style="medium">
        <color rgb="FF1F3864"/>
      </bottom>
      <diagonal/>
    </border>
    <border>
      <left style="thin">
        <color rgb="FF1F3864"/>
      </left>
      <right style="thin">
        <color rgb="FF1F3864"/>
      </right>
      <top/>
      <bottom/>
      <diagonal/>
    </border>
    <border>
      <left/>
      <right/>
      <top style="medium">
        <color theme="0"/>
      </top>
      <bottom/>
      <diagonal/>
    </border>
    <border>
      <left/>
      <right style="thin">
        <color theme="0"/>
      </right>
      <top style="medium">
        <color theme="0"/>
      </top>
      <bottom style="medium">
        <color theme="0"/>
      </bottom>
      <diagonal/>
    </border>
    <border>
      <left style="thin">
        <color theme="0"/>
      </left>
      <right style="medium">
        <color theme="0"/>
      </right>
      <top style="medium">
        <color theme="0"/>
      </top>
      <bottom/>
      <diagonal/>
    </border>
    <border>
      <left style="thin">
        <color theme="0"/>
      </left>
      <right style="medium">
        <color theme="0"/>
      </right>
      <top/>
      <bottom style="medium">
        <color theme="0"/>
      </bottom>
      <diagonal/>
    </border>
    <border>
      <left style="thin">
        <color rgb="FF1F3864"/>
      </left>
      <right style="thin">
        <color rgb="FF1F3864"/>
      </right>
      <top/>
      <bottom style="thin">
        <color rgb="FF1F3864"/>
      </bottom>
      <diagonal/>
    </border>
    <border>
      <left style="thin">
        <color theme="0"/>
      </left>
      <right/>
      <top/>
      <bottom/>
      <diagonal/>
    </border>
    <border>
      <left/>
      <right/>
      <top style="medium">
        <color auto="1"/>
      </top>
      <bottom/>
      <diagonal/>
    </border>
    <border>
      <left/>
      <right/>
      <top style="medium">
        <color auto="1"/>
      </top>
      <bottom style="thin">
        <color auto="1"/>
      </bottom>
      <diagonal/>
    </border>
    <border>
      <left/>
      <right/>
      <top style="thin">
        <color auto="1"/>
      </top>
      <bottom/>
      <diagonal/>
    </border>
    <border>
      <left/>
      <right/>
      <top/>
      <bottom style="medium">
        <color auto="1"/>
      </bottom>
      <diagonal/>
    </border>
    <border>
      <left/>
      <right style="medium">
        <color theme="0"/>
      </right>
      <top style="medium">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002060"/>
      </left>
      <right style="thin">
        <color rgb="FF002060"/>
      </right>
      <top style="thin">
        <color rgb="FF002060"/>
      </top>
      <bottom style="thin">
        <color rgb="FF002060"/>
      </bottom>
      <diagonal/>
    </border>
    <border>
      <left/>
      <right/>
      <top style="thin">
        <color theme="0"/>
      </top>
      <bottom style="thin">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33">
    <xf numFmtId="0" fontId="0" fillId="0" borderId="0"/>
    <xf numFmtId="43"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1" fillId="0" borderId="0"/>
    <xf numFmtId="0" fontId="4" fillId="0" borderId="0"/>
    <xf numFmtId="42" fontId="1"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41" fontId="4" fillId="0" borderId="0" applyFont="0" applyFill="0" applyBorder="0" applyAlignment="0" applyProtection="0"/>
    <xf numFmtId="170" fontId="1" fillId="0" borderId="0" applyFont="0" applyFill="0" applyBorder="0" applyAlignment="0" applyProtection="0"/>
    <xf numFmtId="0" fontId="4" fillId="0" borderId="0"/>
    <xf numFmtId="0" fontId="12"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41" fontId="1" fillId="0" borderId="0" applyFont="0" applyFill="0" applyBorder="0" applyAlignment="0" applyProtection="0"/>
    <xf numFmtId="42" fontId="4" fillId="0" borderId="0" applyFont="0" applyFill="0" applyBorder="0" applyAlignment="0" applyProtection="0"/>
    <xf numFmtId="44" fontId="1" fillId="0" borderId="0" applyFont="0" applyFill="0" applyBorder="0" applyAlignment="0" applyProtection="0"/>
    <xf numFmtId="179" fontId="1" fillId="0" borderId="0" applyFont="0" applyFill="0" applyBorder="0" applyAlignment="0" applyProtection="0"/>
    <xf numFmtId="9" fontId="4" fillId="0" borderId="0" applyFont="0" applyFill="0" applyBorder="0" applyAlignment="0" applyProtection="0"/>
    <xf numFmtId="0" fontId="4" fillId="0" borderId="0"/>
  </cellStyleXfs>
  <cellXfs count="388">
    <xf numFmtId="0" fontId="0" fillId="0" borderId="0" xfId="0"/>
    <xf numFmtId="0" fontId="1" fillId="0" borderId="0" xfId="0" applyFont="1" applyAlignment="1" applyProtection="1">
      <alignment vertical="center"/>
    </xf>
    <xf numFmtId="0" fontId="1" fillId="0" borderId="0" xfId="0" applyFont="1" applyAlignment="1" applyProtection="1">
      <alignment vertical="center" wrapText="1"/>
    </xf>
    <xf numFmtId="10" fontId="1" fillId="0" borderId="0" xfId="3" applyNumberFormat="1" applyFont="1" applyAlignment="1" applyProtection="1">
      <alignment horizontal="center" vertical="center"/>
    </xf>
    <xf numFmtId="0" fontId="1" fillId="0" borderId="0" xfId="0" applyFont="1" applyAlignment="1" applyProtection="1">
      <alignment horizontal="center" vertical="center"/>
    </xf>
    <xf numFmtId="0" fontId="0" fillId="0" borderId="0" xfId="0" applyProtection="1"/>
    <xf numFmtId="0" fontId="3" fillId="0" borderId="0" xfId="0" applyFont="1" applyAlignment="1" applyProtection="1">
      <alignment horizontal="center" vertical="center" wrapText="1"/>
    </xf>
    <xf numFmtId="0" fontId="1" fillId="0" borderId="0" xfId="0" applyFont="1" applyAlignment="1" applyProtection="1">
      <alignment horizontal="left" vertical="center" wrapText="1"/>
    </xf>
    <xf numFmtId="0" fontId="13" fillId="14" borderId="3" xfId="0" applyFont="1" applyFill="1" applyBorder="1" applyAlignment="1" applyProtection="1">
      <alignment horizontal="left" vertical="center" wrapText="1"/>
      <protection locked="0"/>
    </xf>
    <xf numFmtId="0" fontId="15" fillId="0" borderId="0" xfId="0" applyFont="1" applyBorder="1" applyAlignment="1" applyProtection="1">
      <alignment horizontal="center" vertical="center" wrapText="1"/>
    </xf>
    <xf numFmtId="0" fontId="15" fillId="0" borderId="0" xfId="0" applyFont="1" applyBorder="1" applyAlignment="1" applyProtection="1">
      <alignment horizontal="center" wrapText="1"/>
    </xf>
    <xf numFmtId="14" fontId="10" fillId="12" borderId="3" xfId="0" applyNumberFormat="1" applyFont="1" applyFill="1" applyBorder="1" applyAlignment="1" applyProtection="1">
      <alignment horizontal="center" vertical="center" wrapText="1"/>
    </xf>
    <xf numFmtId="165" fontId="14" fillId="13" borderId="22" xfId="4" applyNumberFormat="1" applyFont="1" applyFill="1" applyBorder="1" applyAlignment="1" applyProtection="1">
      <alignment horizontal="center" vertical="center" wrapText="1"/>
    </xf>
    <xf numFmtId="165" fontId="14" fillId="13" borderId="18" xfId="4" applyNumberFormat="1" applyFont="1" applyFill="1" applyBorder="1" applyAlignment="1" applyProtection="1">
      <alignment horizontal="center" vertical="center" wrapText="1"/>
    </xf>
    <xf numFmtId="0" fontId="0" fillId="0" borderId="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3" fillId="14" borderId="3" xfId="0" applyFont="1" applyFill="1" applyBorder="1" applyAlignment="1" applyProtection="1">
      <alignment horizontal="center" vertical="center" wrapText="1"/>
      <protection locked="0"/>
    </xf>
    <xf numFmtId="9" fontId="13" fillId="14" borderId="3" xfId="3" applyFont="1" applyFill="1" applyBorder="1" applyAlignment="1" applyProtection="1">
      <alignment horizontal="center" vertical="center" wrapText="1"/>
      <protection locked="0"/>
    </xf>
    <xf numFmtId="3" fontId="13" fillId="14" borderId="3" xfId="0" applyNumberFormat="1" applyFont="1" applyFill="1" applyBorder="1" applyAlignment="1" applyProtection="1">
      <alignment horizontal="center" vertical="center" wrapText="1"/>
      <protection locked="0"/>
    </xf>
    <xf numFmtId="169" fontId="13" fillId="14" borderId="3" xfId="0" applyNumberFormat="1" applyFont="1" applyFill="1" applyBorder="1" applyAlignment="1" applyProtection="1">
      <alignment horizontal="center" vertical="center" wrapText="1"/>
      <protection locked="0"/>
    </xf>
    <xf numFmtId="168" fontId="13" fillId="14" borderId="3" xfId="13" applyNumberFormat="1" applyFont="1" applyFill="1" applyBorder="1" applyAlignment="1" applyProtection="1">
      <alignment horizontal="center" vertical="center"/>
      <protection locked="0"/>
    </xf>
    <xf numFmtId="14"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horizontal="center" vertical="center" wrapText="1"/>
    </xf>
    <xf numFmtId="0" fontId="13" fillId="14" borderId="0" xfId="0" applyFont="1" applyFill="1" applyBorder="1" applyAlignment="1" applyProtection="1">
      <alignment horizontal="center" vertical="center" wrapText="1"/>
    </xf>
    <xf numFmtId="10" fontId="13" fillId="14" borderId="23" xfId="4" applyNumberFormat="1" applyFont="1" applyFill="1" applyBorder="1" applyAlignment="1" applyProtection="1">
      <alignment horizontal="center" vertical="center" wrapText="1"/>
    </xf>
    <xf numFmtId="10" fontId="13" fillId="14" borderId="24" xfId="4" applyNumberFormat="1" applyFont="1" applyFill="1" applyBorder="1" applyAlignment="1" applyProtection="1">
      <alignment horizontal="center" vertical="center" wrapText="1"/>
    </xf>
    <xf numFmtId="165" fontId="13" fillId="14" borderId="3" xfId="3" applyNumberFormat="1" applyFont="1" applyFill="1" applyBorder="1" applyAlignment="1" applyProtection="1">
      <alignment horizontal="center" vertical="center" wrapText="1"/>
      <protection locked="0"/>
    </xf>
    <xf numFmtId="0" fontId="13" fillId="15" borderId="3" xfId="0" applyFont="1" applyFill="1" applyBorder="1" applyAlignment="1" applyProtection="1">
      <alignment horizontal="center" vertical="center" wrapText="1"/>
      <protection locked="0"/>
    </xf>
    <xf numFmtId="42" fontId="13" fillId="14" borderId="3" xfId="2" applyFont="1" applyFill="1" applyBorder="1" applyAlignment="1" applyProtection="1">
      <alignment horizontal="center" vertical="center" wrapText="1"/>
      <protection locked="0"/>
    </xf>
    <xf numFmtId="10" fontId="13" fillId="14" borderId="25" xfId="4" applyNumberFormat="1" applyFont="1" applyFill="1" applyBorder="1" applyAlignment="1" applyProtection="1">
      <alignment horizontal="center" vertical="center" wrapText="1"/>
    </xf>
    <xf numFmtId="0" fontId="19" fillId="14" borderId="0" xfId="0" applyFont="1" applyFill="1" applyBorder="1" applyAlignment="1" applyProtection="1">
      <alignment horizontal="center" wrapText="1"/>
    </xf>
    <xf numFmtId="14" fontId="19" fillId="16" borderId="3" xfId="0" applyNumberFormat="1" applyFont="1" applyFill="1" applyBorder="1" applyAlignment="1" applyProtection="1">
      <alignment horizontal="center" vertical="center" wrapText="1"/>
    </xf>
    <xf numFmtId="0" fontId="19" fillId="16" borderId="3" xfId="0" applyFont="1" applyFill="1" applyBorder="1" applyAlignment="1" applyProtection="1">
      <alignment horizontal="center" vertical="center" wrapText="1"/>
    </xf>
    <xf numFmtId="10" fontId="19" fillId="16" borderId="3" xfId="4" applyNumberFormat="1" applyFont="1" applyFill="1" applyBorder="1" applyAlignment="1" applyProtection="1">
      <alignment horizontal="center" vertical="center" wrapText="1"/>
    </xf>
    <xf numFmtId="0" fontId="19" fillId="16" borderId="0" xfId="0" applyFont="1" applyFill="1" applyBorder="1" applyAlignment="1" applyProtection="1">
      <alignment horizontal="center" wrapText="1"/>
    </xf>
    <xf numFmtId="165" fontId="19" fillId="16" borderId="3" xfId="4" applyNumberFormat="1" applyFont="1" applyFill="1" applyBorder="1" applyAlignment="1" applyProtection="1">
      <alignment horizontal="center" vertical="center" wrapText="1"/>
    </xf>
    <xf numFmtId="165" fontId="19" fillId="16" borderId="0" xfId="4" applyNumberFormat="1" applyFont="1" applyFill="1" applyBorder="1" applyAlignment="1" applyProtection="1">
      <alignment horizontal="center" vertical="center" wrapText="1"/>
    </xf>
    <xf numFmtId="0" fontId="22" fillId="22" borderId="21" xfId="0" applyFont="1" applyFill="1" applyBorder="1" applyAlignment="1">
      <alignment horizontal="center" vertical="center"/>
    </xf>
    <xf numFmtId="0" fontId="22" fillId="0" borderId="21" xfId="0" applyFont="1" applyBorder="1" applyAlignment="1">
      <alignment horizontal="center" vertical="center"/>
    </xf>
    <xf numFmtId="0" fontId="22" fillId="20" borderId="21" xfId="0" applyFont="1" applyFill="1" applyBorder="1" applyAlignment="1">
      <alignment horizontal="center" vertical="center"/>
    </xf>
    <xf numFmtId="0" fontId="22" fillId="23" borderId="21" xfId="0" applyFont="1" applyFill="1" applyBorder="1" applyAlignment="1">
      <alignment horizontal="center" vertical="center"/>
    </xf>
    <xf numFmtId="0" fontId="22" fillId="24" borderId="21" xfId="0" applyFont="1" applyFill="1" applyBorder="1" applyAlignment="1">
      <alignment horizontal="center" vertical="center"/>
    </xf>
    <xf numFmtId="0" fontId="22" fillId="0" borderId="21" xfId="0" applyFont="1" applyBorder="1" applyAlignment="1">
      <alignment horizontal="center" vertical="center" wrapText="1"/>
    </xf>
    <xf numFmtId="10" fontId="23" fillId="21" borderId="3" xfId="0" applyNumberFormat="1" applyFont="1" applyFill="1" applyBorder="1" applyAlignment="1">
      <alignment horizontal="center" vertical="center" wrapText="1"/>
    </xf>
    <xf numFmtId="10" fontId="23" fillId="25" borderId="3" xfId="0" applyNumberFormat="1" applyFont="1" applyFill="1" applyBorder="1" applyAlignment="1">
      <alignment horizontal="center" vertical="center" wrapText="1"/>
    </xf>
    <xf numFmtId="10" fontId="23" fillId="26"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0" fontId="2" fillId="2" borderId="3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0" fillId="0" borderId="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10" fontId="23" fillId="21" borderId="3" xfId="0" applyNumberFormat="1" applyFont="1" applyFill="1" applyBorder="1" applyAlignment="1">
      <alignment horizontal="center" vertical="center" wrapText="1"/>
    </xf>
    <xf numFmtId="168" fontId="13" fillId="14" borderId="3" xfId="13" applyNumberFormat="1" applyFont="1" applyFill="1" applyBorder="1" applyAlignment="1" applyProtection="1">
      <alignment horizontal="center" vertical="center" wrapText="1"/>
      <protection locked="0"/>
    </xf>
    <xf numFmtId="0" fontId="22" fillId="27" borderId="21" xfId="0" applyFont="1" applyFill="1" applyBorder="1" applyAlignment="1">
      <alignment horizontal="center" vertical="center"/>
    </xf>
    <xf numFmtId="0" fontId="2" fillId="2" borderId="0" xfId="0" applyFont="1" applyFill="1" applyBorder="1" applyAlignment="1" applyProtection="1">
      <alignment horizontal="center" vertical="center" wrapText="1"/>
    </xf>
    <xf numFmtId="0" fontId="17" fillId="0" borderId="0" xfId="0" applyFont="1" applyProtection="1"/>
    <xf numFmtId="10" fontId="17" fillId="0" borderId="0" xfId="4" applyNumberFormat="1" applyFont="1" applyAlignment="1" applyProtection="1">
      <alignment horizontal="center" vertical="center"/>
    </xf>
    <xf numFmtId="0" fontId="17" fillId="0" borderId="0" xfId="0" applyFont="1" applyBorder="1" applyProtection="1"/>
    <xf numFmtId="165" fontId="17" fillId="0" borderId="0" xfId="4" applyNumberFormat="1" applyFont="1" applyAlignment="1" applyProtection="1">
      <alignment wrapText="1"/>
    </xf>
    <xf numFmtId="0" fontId="17" fillId="0" borderId="0" xfId="0" applyFont="1" applyAlignment="1" applyProtection="1">
      <alignment horizontal="center"/>
    </xf>
    <xf numFmtId="10" fontId="17" fillId="0" borderId="0" xfId="4" applyNumberFormat="1" applyFont="1" applyAlignment="1" applyProtection="1">
      <alignment horizontal="center"/>
    </xf>
    <xf numFmtId="0" fontId="28" fillId="0" borderId="0" xfId="0" applyFont="1" applyProtection="1"/>
    <xf numFmtId="10" fontId="28" fillId="0" borderId="0" xfId="4" applyNumberFormat="1" applyFont="1" applyAlignment="1" applyProtection="1">
      <alignment horizontal="center" vertical="center"/>
    </xf>
    <xf numFmtId="0" fontId="28" fillId="0" borderId="0" xfId="0" applyFont="1" applyBorder="1" applyProtection="1"/>
    <xf numFmtId="165" fontId="28" fillId="0" borderId="0" xfId="4" applyNumberFormat="1" applyFont="1" applyAlignment="1" applyProtection="1">
      <alignment wrapText="1"/>
    </xf>
    <xf numFmtId="0" fontId="10" fillId="0" borderId="0" xfId="0" applyFont="1" applyBorder="1" applyAlignment="1" applyProtection="1">
      <alignment wrapText="1"/>
    </xf>
    <xf numFmtId="10" fontId="10" fillId="0" borderId="0" xfId="4" applyNumberFormat="1" applyFont="1" applyAlignment="1" applyProtection="1">
      <alignment horizontal="center" vertical="center" wrapText="1"/>
    </xf>
    <xf numFmtId="165" fontId="24" fillId="28" borderId="3" xfId="0" applyNumberFormat="1" applyFont="1" applyFill="1" applyBorder="1" applyAlignment="1">
      <alignment horizontal="center" vertical="center"/>
    </xf>
    <xf numFmtId="165" fontId="7" fillId="28" borderId="40" xfId="0" applyNumberFormat="1" applyFont="1" applyFill="1" applyBorder="1" applyAlignment="1">
      <alignment horizontal="center" vertical="center"/>
    </xf>
    <xf numFmtId="0" fontId="1" fillId="14" borderId="0" xfId="0" applyFont="1" applyFill="1" applyAlignment="1" applyProtection="1">
      <alignment vertical="center"/>
    </xf>
    <xf numFmtId="0" fontId="1" fillId="14" borderId="3" xfId="0" applyFont="1" applyFill="1" applyBorder="1" applyAlignment="1" applyProtection="1">
      <alignment vertical="center" wrapText="1"/>
    </xf>
    <xf numFmtId="0" fontId="1" fillId="14" borderId="34" xfId="0" applyFont="1" applyFill="1" applyBorder="1" applyAlignment="1" applyProtection="1">
      <alignment vertical="center" wrapText="1"/>
    </xf>
    <xf numFmtId="165" fontId="0" fillId="14" borderId="40" xfId="0" applyNumberFormat="1" applyFill="1" applyBorder="1" applyAlignment="1">
      <alignment horizontal="center" vertical="center"/>
    </xf>
    <xf numFmtId="0" fontId="0" fillId="14" borderId="0" xfId="0" applyFill="1" applyProtection="1"/>
    <xf numFmtId="0" fontId="1" fillId="14" borderId="14" xfId="0" applyFont="1" applyFill="1" applyBorder="1" applyAlignment="1" applyProtection="1">
      <alignment vertical="center" wrapText="1"/>
    </xf>
    <xf numFmtId="165" fontId="8" fillId="14" borderId="0" xfId="0" applyNumberFormat="1" applyFont="1" applyFill="1" applyBorder="1" applyAlignment="1">
      <alignment horizontal="center" vertical="center"/>
    </xf>
    <xf numFmtId="0" fontId="1" fillId="14" borderId="35" xfId="0" applyFont="1" applyFill="1" applyBorder="1" applyAlignment="1" applyProtection="1">
      <alignment vertical="center" wrapText="1"/>
    </xf>
    <xf numFmtId="0" fontId="0" fillId="14" borderId="0" xfId="0" applyFill="1"/>
    <xf numFmtId="10" fontId="23" fillId="21" borderId="3" xfId="0" applyNumberFormat="1" applyFont="1" applyFill="1" applyBorder="1" applyAlignment="1">
      <alignment horizontal="center" vertical="center" wrapText="1"/>
    </xf>
    <xf numFmtId="0" fontId="1" fillId="0" borderId="0" xfId="0" applyFont="1" applyBorder="1" applyAlignment="1" applyProtection="1">
      <alignment horizontal="left" vertical="center" wrapText="1"/>
    </xf>
    <xf numFmtId="165" fontId="8" fillId="29" borderId="40" xfId="0" applyNumberFormat="1" applyFont="1" applyFill="1" applyBorder="1" applyAlignment="1">
      <alignment horizontal="center" vertical="center"/>
    </xf>
    <xf numFmtId="165" fontId="29" fillId="30" borderId="40" xfId="0" applyNumberFormat="1" applyFont="1" applyFill="1" applyBorder="1" applyAlignment="1">
      <alignment horizontal="center" vertical="center"/>
    </xf>
    <xf numFmtId="49" fontId="0" fillId="14" borderId="40" xfId="0" applyNumberFormat="1" applyFill="1" applyBorder="1" applyAlignment="1">
      <alignment horizontal="center" vertical="center"/>
    </xf>
    <xf numFmtId="0" fontId="11" fillId="8" borderId="21" xfId="0" applyFont="1" applyFill="1" applyBorder="1" applyAlignment="1" applyProtection="1">
      <alignment horizontal="center" vertical="center" wrapText="1"/>
    </xf>
    <xf numFmtId="0" fontId="11" fillId="11" borderId="7" xfId="0" applyFont="1" applyFill="1" applyBorder="1" applyAlignment="1" applyProtection="1">
      <alignment horizontal="center" vertical="center" wrapText="1"/>
    </xf>
    <xf numFmtId="0" fontId="13" fillId="14" borderId="3" xfId="0" applyFont="1" applyFill="1" applyBorder="1" applyAlignment="1" applyProtection="1">
      <alignment horizontal="left" vertical="center" wrapText="1"/>
    </xf>
    <xf numFmtId="3" fontId="13" fillId="14" borderId="3" xfId="0" applyNumberFormat="1" applyFont="1" applyFill="1" applyBorder="1" applyAlignment="1" applyProtection="1">
      <alignment horizontal="center" vertical="center" wrapText="1"/>
    </xf>
    <xf numFmtId="169"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horizontal="center" vertical="center"/>
    </xf>
    <xf numFmtId="165" fontId="13" fillId="14" borderId="3" xfId="3" applyNumberFormat="1" applyFont="1" applyFill="1" applyBorder="1" applyAlignment="1" applyProtection="1">
      <alignment horizontal="center" vertical="center" wrapText="1"/>
    </xf>
    <xf numFmtId="165" fontId="13" fillId="14" borderId="3" xfId="3" applyNumberFormat="1" applyFont="1" applyFill="1" applyBorder="1" applyAlignment="1" applyProtection="1">
      <alignment horizontal="center" vertical="center"/>
    </xf>
    <xf numFmtId="3" fontId="13" fillId="14" borderId="3" xfId="0" applyNumberFormat="1" applyFont="1" applyFill="1" applyBorder="1" applyAlignment="1" applyProtection="1">
      <alignment horizontal="center" vertical="center"/>
    </xf>
    <xf numFmtId="171" fontId="13" fillId="14" borderId="3" xfId="1" applyNumberFormat="1" applyFont="1" applyFill="1" applyBorder="1" applyAlignment="1" applyProtection="1">
      <alignment horizontal="center" vertical="center" wrapText="1"/>
    </xf>
    <xf numFmtId="9" fontId="13" fillId="14" borderId="3" xfId="3" applyFont="1" applyFill="1" applyBorder="1" applyAlignment="1" applyProtection="1">
      <alignment horizontal="center" vertical="center" wrapText="1"/>
    </xf>
    <xf numFmtId="9" fontId="13" fillId="14" borderId="3" xfId="0" applyNumberFormat="1" applyFont="1" applyFill="1" applyBorder="1" applyAlignment="1" applyProtection="1">
      <alignment horizontal="center" vertical="center" wrapText="1"/>
    </xf>
    <xf numFmtId="0" fontId="13" fillId="14" borderId="3" xfId="5" applyFont="1" applyFill="1" applyBorder="1" applyAlignment="1" applyProtection="1">
      <alignment horizontal="center" vertical="center" wrapText="1"/>
    </xf>
    <xf numFmtId="3" fontId="13" fillId="14" borderId="3" xfId="14" applyNumberFormat="1" applyFont="1" applyFill="1" applyBorder="1" applyAlignment="1" applyProtection="1">
      <alignment horizontal="center" vertical="center" wrapText="1"/>
    </xf>
    <xf numFmtId="177" fontId="13" fillId="14" borderId="3" xfId="27" applyNumberFormat="1" applyFont="1" applyFill="1" applyBorder="1" applyAlignment="1" applyProtection="1">
      <alignment horizontal="center" vertical="center" wrapText="1"/>
    </xf>
    <xf numFmtId="165"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horizontal="justify" vertical="center" wrapText="1"/>
    </xf>
    <xf numFmtId="165" fontId="13" fillId="15" borderId="3" xfId="3" applyNumberFormat="1" applyFont="1" applyFill="1" applyBorder="1" applyAlignment="1" applyProtection="1">
      <alignment horizontal="center" vertical="center" wrapText="1"/>
    </xf>
    <xf numFmtId="165" fontId="13" fillId="15" borderId="3" xfId="3" applyNumberFormat="1" applyFont="1" applyFill="1" applyBorder="1" applyAlignment="1" applyProtection="1">
      <alignment horizontal="center" vertical="center"/>
    </xf>
    <xf numFmtId="173" fontId="13" fillId="14" borderId="3" xfId="0" applyNumberFormat="1" applyFont="1" applyFill="1" applyBorder="1" applyAlignment="1" applyProtection="1">
      <alignment horizontal="center" vertical="center" wrapText="1"/>
    </xf>
    <xf numFmtId="1"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vertical="center" wrapText="1"/>
    </xf>
    <xf numFmtId="0" fontId="13" fillId="14" borderId="3" xfId="13" applyFont="1" applyFill="1" applyBorder="1" applyAlignment="1" applyProtection="1">
      <alignment horizontal="center" vertical="center" wrapText="1"/>
    </xf>
    <xf numFmtId="3" fontId="13" fillId="14" borderId="3" xfId="4" applyNumberFormat="1" applyFont="1" applyFill="1" applyBorder="1" applyAlignment="1" applyProtection="1">
      <alignment horizontal="center" vertical="center" wrapText="1"/>
    </xf>
    <xf numFmtId="13" fontId="13" fillId="14" borderId="3" xfId="0" applyNumberFormat="1" applyFont="1" applyFill="1" applyBorder="1" applyAlignment="1" applyProtection="1">
      <alignment horizontal="center" vertical="center" wrapText="1"/>
    </xf>
    <xf numFmtId="0" fontId="13" fillId="14" borderId="3" xfId="6" applyFont="1" applyFill="1" applyBorder="1" applyAlignment="1" applyProtection="1">
      <alignment horizontal="center" vertical="center" wrapText="1"/>
    </xf>
    <xf numFmtId="14" fontId="13" fillId="14" borderId="3" xfId="6" applyNumberFormat="1" applyFont="1" applyFill="1" applyBorder="1" applyAlignment="1" applyProtection="1">
      <alignment horizontal="center" vertical="center" wrapText="1"/>
    </xf>
    <xf numFmtId="0" fontId="13" fillId="14" borderId="3" xfId="13" applyFont="1" applyFill="1" applyBorder="1" applyAlignment="1" applyProtection="1">
      <alignment vertical="center" wrapText="1"/>
    </xf>
    <xf numFmtId="0" fontId="13" fillId="14" borderId="3" xfId="13" applyFont="1" applyFill="1" applyBorder="1" applyAlignment="1" applyProtection="1">
      <alignment horizontal="left" vertical="center" wrapText="1"/>
    </xf>
    <xf numFmtId="169" fontId="13" fillId="14" borderId="3" xfId="0" applyNumberFormat="1" applyFont="1" applyFill="1" applyBorder="1" applyAlignment="1" applyProtection="1">
      <alignment vertical="center" wrapText="1"/>
    </xf>
    <xf numFmtId="169" fontId="13" fillId="14" borderId="3" xfId="0" applyNumberFormat="1" applyFont="1" applyFill="1" applyBorder="1" applyAlignment="1" applyProtection="1">
      <alignment horizontal="left" vertical="center" wrapText="1"/>
    </xf>
    <xf numFmtId="43" fontId="13" fillId="14" borderId="3" xfId="1" applyFont="1" applyFill="1" applyBorder="1" applyAlignment="1" applyProtection="1">
      <alignment horizontal="center" vertical="center" wrapText="1"/>
    </xf>
    <xf numFmtId="0" fontId="13" fillId="14" borderId="3" xfId="13" applyFont="1" applyFill="1" applyBorder="1" applyAlignment="1" applyProtection="1">
      <alignment horizontal="center" vertical="center"/>
    </xf>
    <xf numFmtId="14" fontId="13" fillId="14" borderId="3" xfId="12" applyNumberFormat="1" applyFont="1" applyFill="1" applyBorder="1" applyAlignment="1" applyProtection="1">
      <alignment horizontal="center" vertical="center" wrapText="1"/>
    </xf>
    <xf numFmtId="3" fontId="13" fillId="14" borderId="3" xfId="13" applyNumberFormat="1" applyFont="1" applyFill="1" applyBorder="1" applyAlignment="1" applyProtection="1">
      <alignment horizontal="center" vertical="center" wrapText="1"/>
    </xf>
    <xf numFmtId="14" fontId="13" fillId="14" borderId="3" xfId="12" applyNumberFormat="1" applyFont="1" applyFill="1" applyBorder="1" applyAlignment="1" applyProtection="1">
      <alignment horizontal="center" vertical="center"/>
    </xf>
    <xf numFmtId="1" fontId="13" fillId="14" borderId="3" xfId="13" applyNumberFormat="1" applyFont="1" applyFill="1" applyBorder="1" applyAlignment="1" applyProtection="1">
      <alignment horizontal="center" vertical="center" wrapText="1"/>
    </xf>
    <xf numFmtId="9" fontId="13" fillId="14" borderId="3" xfId="13" applyNumberFormat="1" applyFont="1" applyFill="1" applyBorder="1" applyAlignment="1" applyProtection="1">
      <alignment horizontal="center" vertical="center" wrapText="1"/>
    </xf>
    <xf numFmtId="3" fontId="13" fillId="14" borderId="3" xfId="25" applyNumberFormat="1" applyFont="1" applyFill="1" applyBorder="1" applyAlignment="1" applyProtection="1">
      <alignment horizontal="center" vertical="center" wrapText="1"/>
    </xf>
    <xf numFmtId="14" fontId="13" fillId="14" borderId="3" xfId="2" applyNumberFormat="1" applyFont="1" applyFill="1" applyBorder="1" applyAlignment="1" applyProtection="1">
      <alignment horizontal="center" vertical="center" wrapText="1"/>
    </xf>
    <xf numFmtId="1" fontId="13" fillId="14" borderId="3" xfId="0" applyNumberFormat="1" applyFont="1" applyFill="1" applyBorder="1" applyAlignment="1" applyProtection="1">
      <alignment horizontal="center" vertical="center" wrapText="1"/>
      <protection locked="0"/>
    </xf>
    <xf numFmtId="1" fontId="13" fillId="14" borderId="3" xfId="3" applyNumberFormat="1" applyFont="1" applyFill="1" applyBorder="1" applyAlignment="1" applyProtection="1">
      <alignment horizontal="center" vertical="center" wrapText="1"/>
      <protection locked="0"/>
    </xf>
    <xf numFmtId="10" fontId="23" fillId="21" borderId="3" xfId="0" applyNumberFormat="1" applyFont="1" applyFill="1" applyBorder="1" applyAlignment="1">
      <alignment horizontal="center" vertical="center" wrapText="1"/>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13" fillId="14" borderId="3" xfId="0" applyFont="1" applyFill="1" applyBorder="1" applyAlignment="1" applyProtection="1">
      <alignment horizontal="justify" vertical="center" wrapText="1"/>
      <protection locked="0"/>
    </xf>
    <xf numFmtId="0" fontId="13" fillId="14" borderId="3" xfId="13" applyFont="1" applyFill="1" applyBorder="1" applyAlignment="1" applyProtection="1">
      <alignment horizontal="left" vertical="center" wrapText="1"/>
      <protection locked="0"/>
    </xf>
    <xf numFmtId="0" fontId="13" fillId="14" borderId="3" xfId="13" applyFont="1" applyFill="1" applyBorder="1" applyAlignment="1" applyProtection="1">
      <alignment horizontal="justify" vertical="center" wrapText="1"/>
      <protection locked="0"/>
    </xf>
    <xf numFmtId="168" fontId="13" fillId="14" borderId="3" xfId="0" applyNumberFormat="1" applyFont="1" applyFill="1" applyBorder="1" applyAlignment="1" applyProtection="1">
      <alignment horizontal="center" vertical="center" wrapText="1"/>
      <protection locked="0"/>
    </xf>
    <xf numFmtId="166" fontId="13" fillId="14" borderId="3" xfId="0" applyNumberFormat="1" applyFont="1" applyFill="1" applyBorder="1" applyAlignment="1" applyProtection="1">
      <alignment horizontal="center" vertical="center" wrapText="1"/>
      <protection locked="0"/>
    </xf>
    <xf numFmtId="10" fontId="13" fillId="14" borderId="3" xfId="3" applyNumberFormat="1" applyFont="1" applyFill="1" applyBorder="1" applyAlignment="1" applyProtection="1">
      <alignment horizontal="center" vertical="center" wrapText="1"/>
    </xf>
    <xf numFmtId="176" fontId="13" fillId="14" borderId="3" xfId="0" applyNumberFormat="1" applyFont="1" applyFill="1" applyBorder="1" applyAlignment="1" applyProtection="1">
      <alignment horizontal="center" vertical="center" wrapText="1"/>
      <protection locked="0"/>
    </xf>
    <xf numFmtId="178" fontId="13" fillId="14" borderId="3" xfId="2" applyNumberFormat="1" applyFont="1" applyFill="1" applyBorder="1" applyAlignment="1" applyProtection="1">
      <alignment horizontal="center" vertical="center" wrapText="1"/>
      <protection locked="0"/>
    </xf>
    <xf numFmtId="9" fontId="13" fillId="14" borderId="3" xfId="3" applyFont="1" applyFill="1" applyBorder="1" applyAlignment="1" applyProtection="1">
      <alignment horizontal="center" vertical="center"/>
    </xf>
    <xf numFmtId="178" fontId="13" fillId="14" borderId="3" xfId="0" applyNumberFormat="1" applyFont="1" applyFill="1" applyBorder="1" applyAlignment="1" applyProtection="1">
      <alignment horizontal="center" vertical="center" wrapText="1"/>
      <protection locked="0"/>
    </xf>
    <xf numFmtId="168" fontId="13" fillId="14" borderId="3" xfId="0" applyNumberFormat="1"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wrapText="1"/>
    </xf>
    <xf numFmtId="9" fontId="13" fillId="14" borderId="3" xfId="3" applyNumberFormat="1" applyFont="1" applyFill="1" applyBorder="1" applyAlignment="1" applyProtection="1">
      <alignment horizontal="center" vertical="center" wrapText="1"/>
    </xf>
    <xf numFmtId="2" fontId="13" fillId="14" borderId="3" xfId="0" applyNumberFormat="1" applyFont="1" applyFill="1" applyBorder="1" applyAlignment="1" applyProtection="1">
      <alignment horizontal="center" vertical="center" wrapText="1"/>
    </xf>
    <xf numFmtId="0" fontId="13" fillId="14" borderId="3" xfId="13" applyFont="1" applyFill="1" applyBorder="1" applyAlignment="1" applyProtection="1">
      <alignment horizontal="justify" vertical="center" wrapText="1"/>
    </xf>
    <xf numFmtId="178" fontId="13" fillId="14" borderId="3" xfId="10" applyNumberFormat="1" applyFont="1" applyFill="1" applyBorder="1" applyAlignment="1" applyProtection="1">
      <alignment horizontal="center" vertical="center"/>
      <protection locked="0"/>
    </xf>
    <xf numFmtId="178" fontId="13" fillId="14" borderId="3" xfId="0" applyNumberFormat="1" applyFont="1" applyFill="1" applyBorder="1" applyAlignment="1" applyProtection="1">
      <alignment horizontal="center" vertical="center"/>
      <protection locked="0"/>
    </xf>
    <xf numFmtId="169" fontId="13" fillId="5" borderId="3" xfId="0" applyNumberFormat="1" applyFont="1" applyFill="1" applyBorder="1" applyAlignment="1" applyProtection="1">
      <alignment horizontal="center" vertical="center" wrapText="1"/>
    </xf>
    <xf numFmtId="1" fontId="13" fillId="5" borderId="3" xfId="0" applyNumberFormat="1" applyFont="1" applyFill="1" applyBorder="1" applyAlignment="1" applyProtection="1">
      <alignment horizontal="center" vertical="center" wrapText="1"/>
      <protection locked="0"/>
    </xf>
    <xf numFmtId="169" fontId="13" fillId="5" borderId="3" xfId="0" applyNumberFormat="1" applyFont="1" applyFill="1" applyBorder="1" applyAlignment="1" applyProtection="1">
      <alignment horizontal="center" vertical="center" wrapText="1"/>
      <protection locked="0"/>
    </xf>
    <xf numFmtId="0" fontId="13" fillId="5" borderId="3" xfId="0" applyFont="1" applyFill="1" applyBorder="1" applyAlignment="1" applyProtection="1">
      <alignment horizontal="left" vertical="center" wrapText="1"/>
      <protection locked="0"/>
    </xf>
    <xf numFmtId="0" fontId="13" fillId="5" borderId="3" xfId="0" applyFont="1" applyFill="1" applyBorder="1" applyAlignment="1" applyProtection="1">
      <alignment horizontal="justify" vertical="center" wrapText="1"/>
    </xf>
    <xf numFmtId="0" fontId="13" fillId="5" borderId="3" xfId="0" applyFont="1" applyFill="1" applyBorder="1" applyAlignment="1" applyProtection="1">
      <alignment horizontal="justify" vertical="center" wrapText="1"/>
      <protection locked="0"/>
    </xf>
    <xf numFmtId="165" fontId="13" fillId="5" borderId="3" xfId="0" applyNumberFormat="1" applyFont="1" applyFill="1" applyBorder="1" applyAlignment="1" applyProtection="1">
      <alignment horizontal="center" vertical="center" wrapText="1"/>
    </xf>
    <xf numFmtId="9" fontId="13" fillId="5" borderId="3" xfId="3" applyFont="1" applyFill="1" applyBorder="1" applyAlignment="1" applyProtection="1">
      <alignment horizontal="center" vertical="center" wrapText="1"/>
      <protection locked="0"/>
    </xf>
    <xf numFmtId="165" fontId="13" fillId="5" borderId="3" xfId="0" applyNumberFormat="1" applyFont="1" applyFill="1" applyBorder="1" applyAlignment="1" applyProtection="1">
      <alignment horizontal="center" vertical="center" wrapText="1"/>
      <protection locked="0"/>
    </xf>
    <xf numFmtId="10" fontId="13" fillId="5" borderId="3" xfId="0" applyNumberFormat="1" applyFont="1" applyFill="1" applyBorder="1" applyAlignment="1" applyProtection="1">
      <alignment horizontal="center" vertical="center" wrapText="1"/>
    </xf>
    <xf numFmtId="10" fontId="13" fillId="5" borderId="3" xfId="0" applyNumberFormat="1" applyFont="1" applyFill="1" applyBorder="1" applyAlignment="1" applyProtection="1">
      <alignment horizontal="center" vertical="center" wrapText="1"/>
      <protection locked="0"/>
    </xf>
    <xf numFmtId="3" fontId="13" fillId="5" borderId="3" xfId="0" applyNumberFormat="1" applyFont="1" applyFill="1" applyBorder="1" applyAlignment="1" applyProtection="1">
      <alignment horizontal="center" vertical="center" wrapText="1"/>
    </xf>
    <xf numFmtId="174" fontId="13" fillId="5" borderId="3" xfId="0" applyNumberFormat="1" applyFont="1" applyFill="1" applyBorder="1" applyAlignment="1" applyProtection="1">
      <alignment horizontal="left" vertical="center" wrapText="1"/>
      <protection locked="0"/>
    </xf>
    <xf numFmtId="0" fontId="13" fillId="17" borderId="3" xfId="0" applyFont="1" applyFill="1" applyBorder="1" applyAlignment="1" applyProtection="1">
      <alignment horizontal="left" vertical="center" wrapText="1"/>
    </xf>
    <xf numFmtId="9" fontId="13" fillId="14" borderId="3" xfId="0" applyNumberFormat="1" applyFont="1" applyFill="1" applyBorder="1" applyAlignment="1" applyProtection="1">
      <alignment horizontal="center" vertical="center"/>
    </xf>
    <xf numFmtId="178" fontId="13" fillId="5" borderId="3" xfId="2" applyNumberFormat="1" applyFont="1" applyFill="1" applyBorder="1" applyAlignment="1" applyProtection="1">
      <alignment horizontal="center" vertical="center" wrapText="1"/>
      <protection locked="0"/>
    </xf>
    <xf numFmtId="0" fontId="11" fillId="10" borderId="11" xfId="0" applyFont="1" applyFill="1" applyBorder="1" applyAlignment="1" applyProtection="1">
      <alignment horizontal="center" vertical="center" wrapText="1"/>
    </xf>
    <xf numFmtId="0" fontId="13" fillId="31" borderId="3" xfId="0" applyFont="1" applyFill="1" applyBorder="1" applyAlignment="1" applyProtection="1">
      <alignment horizontal="center" vertical="center" wrapText="1"/>
    </xf>
    <xf numFmtId="0" fontId="13" fillId="32" borderId="3" xfId="0" applyFont="1" applyFill="1" applyBorder="1" applyAlignment="1" applyProtection="1">
      <alignment horizontal="center" vertical="center" wrapText="1"/>
    </xf>
    <xf numFmtId="0" fontId="13" fillId="33" borderId="3" xfId="0" applyFont="1" applyFill="1" applyBorder="1" applyAlignment="1" applyProtection="1">
      <alignment horizontal="center" vertical="center" wrapText="1"/>
    </xf>
    <xf numFmtId="0" fontId="13" fillId="34" borderId="3" xfId="0" applyFont="1" applyFill="1" applyBorder="1" applyAlignment="1" applyProtection="1">
      <alignment horizontal="center" vertical="center" wrapText="1"/>
    </xf>
    <xf numFmtId="0" fontId="13" fillId="31" borderId="3" xfId="0" applyFont="1" applyFill="1" applyBorder="1" applyAlignment="1" applyProtection="1">
      <alignment vertical="center" wrapText="1"/>
    </xf>
    <xf numFmtId="0" fontId="13" fillId="32" borderId="3" xfId="0" applyFont="1" applyFill="1" applyBorder="1" applyAlignment="1" applyProtection="1">
      <alignment vertical="center" wrapText="1"/>
    </xf>
    <xf numFmtId="0" fontId="13" fillId="33" borderId="3" xfId="0" applyFont="1" applyFill="1" applyBorder="1" applyAlignment="1" applyProtection="1">
      <alignment vertical="center" wrapText="1"/>
    </xf>
    <xf numFmtId="0" fontId="13" fillId="34" borderId="3" xfId="0" applyFont="1" applyFill="1" applyBorder="1" applyAlignment="1" applyProtection="1">
      <alignment vertical="center" wrapText="1"/>
    </xf>
    <xf numFmtId="0" fontId="13" fillId="0" borderId="3" xfId="0" applyFont="1" applyFill="1" applyBorder="1" applyAlignment="1" applyProtection="1">
      <alignment vertical="center" wrapText="1"/>
    </xf>
    <xf numFmtId="165" fontId="13" fillId="35" borderId="3" xfId="3" applyNumberFormat="1" applyFont="1" applyFill="1" applyBorder="1" applyAlignment="1" applyProtection="1">
      <alignment horizontal="center" vertical="center" wrapText="1"/>
      <protection locked="0"/>
    </xf>
    <xf numFmtId="9" fontId="13" fillId="35" borderId="3" xfId="3" applyFont="1" applyFill="1" applyBorder="1" applyAlignment="1" applyProtection="1">
      <alignment horizontal="center" vertical="center" wrapText="1"/>
      <protection locked="0"/>
    </xf>
    <xf numFmtId="1" fontId="13" fillId="36" borderId="3" xfId="0" applyNumberFormat="1" applyFont="1" applyFill="1" applyBorder="1" applyAlignment="1" applyProtection="1">
      <alignment horizontal="center" vertical="center" wrapText="1"/>
      <protection locked="0"/>
    </xf>
    <xf numFmtId="165" fontId="13" fillId="36" borderId="3" xfId="0" applyNumberFormat="1" applyFont="1" applyFill="1" applyBorder="1" applyAlignment="1" applyProtection="1">
      <alignment horizontal="center" vertical="center" wrapText="1"/>
      <protection locked="0"/>
    </xf>
    <xf numFmtId="9" fontId="13" fillId="36" borderId="3" xfId="3" applyFont="1" applyFill="1" applyBorder="1" applyAlignment="1" applyProtection="1">
      <alignment horizontal="center" vertical="center" wrapText="1"/>
      <protection locked="0"/>
    </xf>
    <xf numFmtId="0" fontId="13" fillId="35" borderId="3" xfId="0" applyFont="1" applyFill="1" applyBorder="1" applyAlignment="1" applyProtection="1">
      <alignment horizontal="center" vertical="center" wrapText="1"/>
      <protection locked="0"/>
    </xf>
    <xf numFmtId="1" fontId="13" fillId="35" borderId="3" xfId="0" applyNumberFormat="1" applyFont="1" applyFill="1" applyBorder="1" applyAlignment="1" applyProtection="1">
      <alignment horizontal="center" vertical="center" wrapText="1"/>
      <protection locked="0"/>
    </xf>
    <xf numFmtId="1" fontId="13" fillId="35" borderId="3" xfId="0" applyNumberFormat="1" applyFont="1" applyFill="1" applyBorder="1" applyAlignment="1" applyProtection="1">
      <alignment horizontal="center" vertical="center"/>
      <protection locked="0"/>
    </xf>
    <xf numFmtId="3" fontId="13" fillId="35" borderId="3" xfId="0" applyNumberFormat="1" applyFont="1" applyFill="1" applyBorder="1" applyAlignment="1" applyProtection="1">
      <alignment horizontal="center" vertical="center"/>
      <protection locked="0"/>
    </xf>
    <xf numFmtId="3" fontId="13" fillId="35" borderId="3" xfId="0" applyNumberFormat="1" applyFont="1" applyFill="1" applyBorder="1" applyAlignment="1" applyProtection="1">
      <alignment horizontal="center" vertical="center" wrapText="1"/>
      <protection locked="0"/>
    </xf>
    <xf numFmtId="2" fontId="13" fillId="35" borderId="3" xfId="0" applyNumberFormat="1" applyFont="1" applyFill="1" applyBorder="1" applyAlignment="1" applyProtection="1">
      <alignment horizontal="center" vertical="center" wrapText="1"/>
      <protection locked="0"/>
    </xf>
    <xf numFmtId="2" fontId="13" fillId="35" borderId="42" xfId="0" applyNumberFormat="1" applyFont="1" applyFill="1" applyBorder="1" applyAlignment="1" applyProtection="1">
      <alignment horizontal="center" vertical="center" wrapText="1"/>
      <protection locked="0"/>
    </xf>
    <xf numFmtId="165" fontId="13" fillId="35" borderId="44" xfId="3" applyNumberFormat="1" applyFont="1" applyFill="1" applyBorder="1" applyAlignment="1" applyProtection="1">
      <alignment horizontal="center" vertical="center" wrapText="1"/>
      <protection locked="0"/>
    </xf>
    <xf numFmtId="165" fontId="13" fillId="37" borderId="3" xfId="4" applyNumberFormat="1" applyFont="1" applyFill="1" applyBorder="1" applyAlignment="1" applyProtection="1">
      <alignment horizontal="center" vertical="center" wrapText="1"/>
      <protection locked="0"/>
    </xf>
    <xf numFmtId="165" fontId="13" fillId="35" borderId="3" xfId="3" applyNumberFormat="1" applyFont="1" applyFill="1" applyBorder="1" applyAlignment="1" applyProtection="1">
      <alignment horizontal="center" vertical="center"/>
      <protection locked="0"/>
    </xf>
    <xf numFmtId="9" fontId="13" fillId="35" borderId="3" xfId="3" applyFont="1" applyFill="1" applyBorder="1" applyAlignment="1" applyProtection="1">
      <alignment horizontal="center" vertical="center"/>
      <protection locked="0"/>
    </xf>
    <xf numFmtId="0" fontId="13" fillId="35" borderId="3" xfId="0" applyFont="1" applyFill="1" applyBorder="1" applyAlignment="1" applyProtection="1">
      <alignment horizontal="justify" vertical="center" wrapText="1"/>
      <protection locked="0"/>
    </xf>
    <xf numFmtId="0" fontId="13" fillId="36" borderId="3" xfId="0" applyFont="1" applyFill="1" applyBorder="1" applyAlignment="1" applyProtection="1">
      <alignment horizontal="left" vertical="center" wrapText="1"/>
      <protection locked="0"/>
    </xf>
    <xf numFmtId="0" fontId="13" fillId="35" borderId="3" xfId="0" applyFont="1" applyFill="1" applyBorder="1" applyAlignment="1" applyProtection="1">
      <alignment horizontal="left" vertical="center" wrapText="1"/>
      <protection locked="0"/>
    </xf>
    <xf numFmtId="0" fontId="13" fillId="35" borderId="3" xfId="0" applyFont="1" applyFill="1" applyBorder="1" applyAlignment="1" applyProtection="1">
      <alignment vertical="top" wrapText="1"/>
      <protection locked="0"/>
    </xf>
    <xf numFmtId="0" fontId="13" fillId="35" borderId="42" xfId="0" applyFont="1" applyFill="1" applyBorder="1" applyAlignment="1" applyProtection="1">
      <alignment vertical="center" wrapText="1"/>
      <protection locked="0"/>
    </xf>
    <xf numFmtId="0" fontId="13" fillId="35" borderId="3" xfId="0" applyFont="1" applyFill="1" applyBorder="1" applyAlignment="1" applyProtection="1">
      <alignment vertical="center" wrapText="1"/>
      <protection locked="0"/>
    </xf>
    <xf numFmtId="49" fontId="13" fillId="35" borderId="43" xfId="0" applyNumberFormat="1" applyFont="1" applyFill="1" applyBorder="1" applyAlignment="1" applyProtection="1">
      <alignment horizontal="left" vertical="center" wrapText="1"/>
      <protection locked="0"/>
    </xf>
    <xf numFmtId="0" fontId="13" fillId="35" borderId="3" xfId="13" applyFont="1" applyFill="1" applyBorder="1" applyAlignment="1" applyProtection="1">
      <alignment horizontal="left" vertical="center" wrapText="1"/>
      <protection locked="0"/>
    </xf>
    <xf numFmtId="0" fontId="13" fillId="38" borderId="3" xfId="0" applyFont="1" applyFill="1" applyBorder="1" applyAlignment="1" applyProtection="1">
      <alignment horizontal="center" vertical="center" wrapText="1"/>
      <protection locked="0"/>
    </xf>
    <xf numFmtId="0" fontId="13" fillId="35" borderId="3" xfId="5" applyFont="1" applyFill="1" applyBorder="1" applyAlignment="1" applyProtection="1">
      <alignment horizontal="left" vertical="center" wrapText="1"/>
      <protection locked="0"/>
    </xf>
    <xf numFmtId="42" fontId="13" fillId="35" borderId="3" xfId="2" applyFont="1" applyFill="1" applyBorder="1" applyAlignment="1" applyProtection="1">
      <alignment horizontal="center" vertical="center" wrapText="1"/>
      <protection locked="0"/>
    </xf>
    <xf numFmtId="0" fontId="13" fillId="35" borderId="3" xfId="13" applyFont="1" applyFill="1" applyBorder="1" applyAlignment="1" applyProtection="1">
      <alignment horizontal="justify" vertical="center" wrapText="1"/>
      <protection locked="0"/>
    </xf>
    <xf numFmtId="165" fontId="13" fillId="35" borderId="43" xfId="3" applyNumberFormat="1" applyFont="1" applyFill="1" applyBorder="1" applyAlignment="1" applyProtection="1">
      <alignment horizontal="center" vertical="center" wrapText="1"/>
      <protection locked="0"/>
    </xf>
    <xf numFmtId="10" fontId="13" fillId="35" borderId="3" xfId="3" applyNumberFormat="1" applyFont="1" applyFill="1" applyBorder="1" applyAlignment="1" applyProtection="1">
      <alignment horizontal="center" vertical="center" wrapText="1"/>
      <protection locked="0"/>
    </xf>
    <xf numFmtId="10" fontId="13" fillId="35" borderId="31" xfId="3" applyNumberFormat="1" applyFont="1" applyFill="1" applyBorder="1" applyAlignment="1" applyProtection="1">
      <alignment horizontal="center" vertical="center" wrapText="1"/>
      <protection locked="0"/>
    </xf>
    <xf numFmtId="1" fontId="13" fillId="35" borderId="3" xfId="1" applyNumberFormat="1" applyFont="1" applyFill="1" applyBorder="1" applyAlignment="1" applyProtection="1">
      <alignment horizontal="center" vertical="center" wrapText="1"/>
      <protection locked="0"/>
    </xf>
    <xf numFmtId="9" fontId="13" fillId="35" borderId="3" xfId="0" applyNumberFormat="1" applyFont="1" applyFill="1" applyBorder="1" applyAlignment="1" applyProtection="1">
      <alignment horizontal="center" vertical="center" wrapText="1"/>
      <protection locked="0"/>
    </xf>
    <xf numFmtId="3" fontId="13" fillId="35" borderId="3" xfId="25" applyNumberFormat="1" applyFont="1" applyFill="1" applyBorder="1" applyAlignment="1" applyProtection="1">
      <alignment horizontal="center" vertical="center" wrapText="1"/>
      <protection locked="0"/>
    </xf>
    <xf numFmtId="1" fontId="13" fillId="35" borderId="3" xfId="25" applyNumberFormat="1" applyFont="1" applyFill="1" applyBorder="1" applyAlignment="1" applyProtection="1">
      <alignment horizontal="center" vertical="center" wrapText="1"/>
      <protection locked="0"/>
    </xf>
    <xf numFmtId="165" fontId="13" fillId="35" borderId="3" xfId="0" applyNumberFormat="1" applyFont="1" applyFill="1" applyBorder="1" applyAlignment="1" applyProtection="1">
      <alignment horizontal="center" vertical="center" wrapText="1"/>
      <protection locked="0"/>
    </xf>
    <xf numFmtId="0" fontId="13" fillId="36" borderId="3" xfId="0" applyFont="1" applyFill="1" applyBorder="1" applyAlignment="1" applyProtection="1">
      <alignment horizontal="justify" vertical="center" wrapText="1"/>
      <protection locked="0"/>
    </xf>
    <xf numFmtId="168" fontId="13" fillId="35" borderId="3" xfId="0" applyNumberFormat="1" applyFont="1" applyFill="1" applyBorder="1" applyAlignment="1" applyProtection="1">
      <alignment horizontal="center" vertical="center"/>
      <protection locked="0"/>
    </xf>
    <xf numFmtId="168" fontId="13" fillId="35" borderId="3" xfId="13" applyNumberFormat="1" applyFont="1" applyFill="1" applyBorder="1" applyAlignment="1" applyProtection="1">
      <alignment horizontal="center" vertical="center"/>
      <protection locked="0"/>
    </xf>
    <xf numFmtId="168" fontId="13" fillId="35" borderId="3" xfId="13" applyNumberFormat="1" applyFont="1" applyFill="1" applyBorder="1" applyAlignment="1" applyProtection="1">
      <alignment horizontal="right" vertical="center"/>
      <protection locked="0"/>
    </xf>
    <xf numFmtId="168" fontId="13" fillId="35" borderId="3" xfId="0" applyNumberFormat="1" applyFont="1" applyFill="1" applyBorder="1" applyAlignment="1" applyProtection="1">
      <alignment vertical="center" wrapText="1"/>
      <protection locked="0"/>
    </xf>
    <xf numFmtId="42" fontId="13" fillId="36" borderId="3" xfId="2" applyFont="1" applyFill="1" applyBorder="1" applyAlignment="1" applyProtection="1">
      <alignment horizontal="left" vertical="center" wrapText="1"/>
      <protection locked="0"/>
    </xf>
    <xf numFmtId="176" fontId="13" fillId="35" borderId="3" xfId="0" applyNumberFormat="1" applyFont="1" applyFill="1" applyBorder="1" applyAlignment="1" applyProtection="1">
      <alignment horizontal="center" vertical="center" wrapText="1"/>
      <protection locked="0"/>
    </xf>
    <xf numFmtId="178" fontId="13" fillId="35" borderId="3" xfId="28" applyNumberFormat="1" applyFont="1" applyFill="1" applyBorder="1" applyAlignment="1" applyProtection="1">
      <alignment horizontal="center" vertical="center" wrapText="1"/>
      <protection locked="0"/>
    </xf>
    <xf numFmtId="168" fontId="13" fillId="35" borderId="3" xfId="0" applyNumberFormat="1" applyFont="1" applyFill="1" applyBorder="1" applyAlignment="1" applyProtection="1">
      <alignment horizontal="center" vertical="center" wrapText="1"/>
      <protection locked="0"/>
    </xf>
    <xf numFmtId="168" fontId="13" fillId="35" borderId="3" xfId="13" applyNumberFormat="1" applyFont="1" applyFill="1" applyBorder="1" applyAlignment="1" applyProtection="1">
      <alignment horizontal="center" vertical="center" wrapText="1"/>
      <protection locked="0"/>
    </xf>
    <xf numFmtId="172" fontId="13" fillId="35" borderId="3" xfId="0" applyNumberFormat="1" applyFont="1" applyFill="1" applyBorder="1" applyAlignment="1" applyProtection="1">
      <alignment horizontal="center" vertical="center" wrapText="1"/>
      <protection locked="0"/>
    </xf>
    <xf numFmtId="175" fontId="13" fillId="35" borderId="3" xfId="0" applyNumberFormat="1" applyFont="1" applyFill="1" applyBorder="1" applyAlignment="1" applyProtection="1">
      <alignment horizontal="right" vertical="center"/>
      <protection locked="0"/>
    </xf>
    <xf numFmtId="178" fontId="13" fillId="35" borderId="3" xfId="2" applyNumberFormat="1" applyFont="1" applyFill="1" applyBorder="1" applyAlignment="1" applyProtection="1">
      <alignment horizontal="center" vertical="center" wrapText="1"/>
      <protection locked="0"/>
    </xf>
    <xf numFmtId="178" fontId="13" fillId="35" borderId="3" xfId="0" applyNumberFormat="1" applyFont="1" applyFill="1" applyBorder="1" applyAlignment="1" applyProtection="1">
      <alignment horizontal="center" vertical="center" wrapText="1"/>
      <protection locked="0"/>
    </xf>
    <xf numFmtId="178" fontId="13" fillId="35" borderId="3" xfId="0" applyNumberFormat="1" applyFont="1" applyFill="1" applyBorder="1" applyAlignment="1" applyProtection="1">
      <alignment horizontal="center" vertical="center"/>
      <protection locked="0"/>
    </xf>
    <xf numFmtId="167" fontId="13" fillId="35" borderId="3" xfId="0" applyNumberFormat="1" applyFont="1" applyFill="1" applyBorder="1" applyAlignment="1" applyProtection="1">
      <alignment horizontal="center" vertical="center"/>
      <protection locked="0"/>
    </xf>
    <xf numFmtId="0" fontId="13" fillId="35" borderId="3" xfId="7" applyFont="1" applyFill="1" applyBorder="1" applyAlignment="1" applyProtection="1">
      <alignment horizontal="justify" vertical="center" wrapText="1"/>
      <protection locked="0"/>
    </xf>
    <xf numFmtId="0" fontId="13" fillId="35" borderId="3" xfId="0" applyFont="1" applyFill="1" applyBorder="1" applyAlignment="1" applyProtection="1">
      <alignment horizontal="justify" vertical="center"/>
      <protection locked="0"/>
    </xf>
    <xf numFmtId="0" fontId="13" fillId="35" borderId="3" xfId="0" applyFont="1" applyFill="1" applyBorder="1" applyAlignment="1" applyProtection="1">
      <alignment horizontal="justify"/>
      <protection locked="0"/>
    </xf>
    <xf numFmtId="0" fontId="13" fillId="35" borderId="43" xfId="0" applyFont="1" applyFill="1" applyBorder="1" applyAlignment="1" applyProtection="1">
      <alignment horizontal="justify" vertical="center" wrapText="1"/>
      <protection locked="0"/>
    </xf>
    <xf numFmtId="0" fontId="13" fillId="35" borderId="31" xfId="0" applyFont="1" applyFill="1" applyBorder="1" applyAlignment="1" applyProtection="1">
      <alignment horizontal="justify" vertical="center" wrapText="1"/>
      <protection locked="0"/>
    </xf>
    <xf numFmtId="1" fontId="13" fillId="35" borderId="3" xfId="27" applyNumberFormat="1" applyFont="1" applyFill="1" applyBorder="1" applyAlignment="1" applyProtection="1">
      <alignment horizontal="center" vertical="center" wrapText="1"/>
      <protection locked="0"/>
    </xf>
    <xf numFmtId="1" fontId="13" fillId="35" borderId="3" xfId="3" applyNumberFormat="1" applyFont="1" applyFill="1" applyBorder="1" applyAlignment="1" applyProtection="1">
      <alignment horizontal="center" vertical="center" wrapText="1"/>
      <protection locked="0"/>
    </xf>
    <xf numFmtId="9" fontId="13" fillId="36" borderId="3" xfId="0" applyNumberFormat="1" applyFont="1" applyFill="1" applyBorder="1" applyAlignment="1" applyProtection="1">
      <alignment horizontal="center" vertical="center" wrapText="1"/>
      <protection locked="0"/>
    </xf>
    <xf numFmtId="9" fontId="13" fillId="36" borderId="3" xfId="3" applyNumberFormat="1" applyFont="1" applyFill="1" applyBorder="1" applyAlignment="1" applyProtection="1">
      <alignment horizontal="center" vertical="center" wrapText="1"/>
      <protection locked="0"/>
    </xf>
    <xf numFmtId="9" fontId="13" fillId="35" borderId="3" xfId="3" applyNumberFormat="1" applyFont="1" applyFill="1" applyBorder="1" applyAlignment="1" applyProtection="1">
      <alignment horizontal="center" vertical="center" wrapText="1"/>
      <protection locked="0"/>
    </xf>
    <xf numFmtId="0" fontId="17" fillId="0" borderId="0" xfId="0" applyFont="1" applyAlignment="1" applyProtection="1">
      <alignment horizontal="left"/>
    </xf>
    <xf numFmtId="0" fontId="17" fillId="0" borderId="0" xfId="0" applyFont="1" applyAlignment="1" applyProtection="1">
      <alignment horizontal="left" wrapText="1"/>
    </xf>
    <xf numFmtId="0" fontId="17" fillId="0" borderId="0" xfId="0" applyFont="1" applyAlignment="1" applyProtection="1"/>
    <xf numFmtId="0" fontId="17" fillId="0" borderId="0" xfId="0" applyFont="1" applyAlignment="1" applyProtection="1">
      <alignment vertical="center"/>
    </xf>
    <xf numFmtId="0" fontId="17" fillId="0" borderId="0" xfId="0" applyFont="1" applyAlignment="1" applyProtection="1">
      <alignment horizontal="left" vertical="center"/>
    </xf>
    <xf numFmtId="0" fontId="17" fillId="0" borderId="0" xfId="0" applyFont="1" applyAlignment="1" applyProtection="1">
      <alignment horizontal="center" vertical="center"/>
    </xf>
    <xf numFmtId="14" fontId="17" fillId="0" borderId="0" xfId="0" applyNumberFormat="1" applyFont="1" applyAlignment="1" applyProtection="1">
      <alignment horizontal="center" vertical="center"/>
    </xf>
    <xf numFmtId="0" fontId="9" fillId="4" borderId="0" xfId="0" applyFont="1" applyFill="1" applyAlignment="1" applyProtection="1">
      <alignment horizontal="left" vertical="center"/>
    </xf>
    <xf numFmtId="0" fontId="9" fillId="4" borderId="0" xfId="0" applyFont="1" applyFill="1" applyAlignment="1" applyProtection="1">
      <alignment horizontal="center" vertical="center"/>
    </xf>
    <xf numFmtId="0" fontId="9" fillId="4" borderId="0" xfId="0" applyFont="1" applyFill="1" applyAlignment="1" applyProtection="1">
      <alignment horizontal="left" vertical="center" wrapText="1"/>
    </xf>
    <xf numFmtId="0" fontId="9" fillId="4" borderId="0" xfId="0" applyFont="1" applyFill="1" applyAlignment="1" applyProtection="1">
      <alignment vertical="center"/>
    </xf>
    <xf numFmtId="14" fontId="9" fillId="4" borderId="0" xfId="0" applyNumberFormat="1" applyFont="1" applyFill="1" applyAlignment="1" applyProtection="1">
      <alignment horizontal="center" vertical="center"/>
    </xf>
    <xf numFmtId="0" fontId="26" fillId="5" borderId="4" xfId="0" applyFont="1" applyFill="1" applyBorder="1" applyAlignment="1" applyProtection="1">
      <alignment horizontal="center" vertical="center"/>
    </xf>
    <xf numFmtId="0" fontId="16" fillId="0" borderId="0" xfId="0" applyFont="1" applyAlignment="1" applyProtection="1">
      <alignment horizontal="center"/>
    </xf>
    <xf numFmtId="0" fontId="26" fillId="0" borderId="4" xfId="0" applyFont="1" applyBorder="1" applyAlignment="1" applyProtection="1">
      <alignment horizontal="left" vertical="center"/>
    </xf>
    <xf numFmtId="0" fontId="26" fillId="0" borderId="0" xfId="0" applyFont="1" applyAlignment="1" applyProtection="1">
      <alignment horizontal="left" vertical="center"/>
    </xf>
    <xf numFmtId="0" fontId="26" fillId="0" borderId="0" xfId="0" applyFont="1" applyAlignment="1" applyProtection="1">
      <alignment horizontal="center" vertical="center"/>
    </xf>
    <xf numFmtId="0" fontId="26" fillId="5" borderId="0" xfId="0" applyFont="1" applyFill="1" applyAlignment="1" applyProtection="1">
      <alignment horizontal="center" vertical="center"/>
    </xf>
    <xf numFmtId="0" fontId="26" fillId="5" borderId="0" xfId="0" applyFont="1" applyFill="1" applyAlignment="1" applyProtection="1">
      <alignment horizontal="left" vertical="center"/>
    </xf>
    <xf numFmtId="0" fontId="26" fillId="5" borderId="0" xfId="0" applyFont="1" applyFill="1" applyAlignment="1" applyProtection="1">
      <alignment horizontal="left" vertical="center" wrapText="1"/>
    </xf>
    <xf numFmtId="10" fontId="26" fillId="5" borderId="0" xfId="4" applyNumberFormat="1" applyFont="1" applyFill="1" applyBorder="1" applyAlignment="1" applyProtection="1">
      <alignment horizontal="center" vertical="center"/>
    </xf>
    <xf numFmtId="0" fontId="26" fillId="0" borderId="0" xfId="0" applyFont="1" applyAlignment="1" applyProtection="1">
      <alignment vertical="center"/>
    </xf>
    <xf numFmtId="14" fontId="26" fillId="0" borderId="0" xfId="0" applyNumberFormat="1" applyFont="1" applyAlignment="1" applyProtection="1">
      <alignment horizontal="center" vertical="center"/>
    </xf>
    <xf numFmtId="3" fontId="26" fillId="0" borderId="0" xfId="0" applyNumberFormat="1" applyFont="1" applyAlignment="1" applyProtection="1">
      <alignment horizontal="center" vertical="center"/>
    </xf>
    <xf numFmtId="0" fontId="10" fillId="0" borderId="0" xfId="0" applyFont="1" applyAlignment="1" applyProtection="1">
      <alignment wrapText="1"/>
    </xf>
    <xf numFmtId="0" fontId="10" fillId="0" borderId="0" xfId="0" applyFont="1" applyAlignment="1" applyProtection="1">
      <alignment horizontal="center" wrapText="1"/>
    </xf>
    <xf numFmtId="0" fontId="18" fillId="6" borderId="26" xfId="0" applyFont="1" applyFill="1" applyBorder="1" applyAlignment="1" applyProtection="1">
      <alignment horizontal="center" vertical="center" wrapText="1"/>
    </xf>
    <xf numFmtId="165" fontId="18" fillId="6" borderId="26" xfId="0" applyNumberFormat="1" applyFont="1" applyFill="1" applyBorder="1" applyAlignment="1" applyProtection="1">
      <alignment horizontal="center" vertical="center" wrapText="1"/>
    </xf>
    <xf numFmtId="43" fontId="18" fillId="6" borderId="26" xfId="1" applyFont="1" applyFill="1" applyBorder="1" applyAlignment="1" applyProtection="1">
      <alignment horizontal="center" vertical="center" wrapText="1"/>
    </xf>
    <xf numFmtId="0" fontId="18" fillId="6" borderId="26" xfId="1" applyNumberFormat="1" applyFont="1" applyFill="1" applyBorder="1" applyAlignment="1" applyProtection="1">
      <alignment horizontal="center" vertical="center" wrapText="1"/>
    </xf>
    <xf numFmtId="0" fontId="18" fillId="6" borderId="26" xfId="0" applyNumberFormat="1" applyFont="1" applyFill="1" applyBorder="1" applyAlignment="1" applyProtection="1">
      <alignment horizontal="center" vertical="center" wrapText="1"/>
    </xf>
    <xf numFmtId="0" fontId="19" fillId="16" borderId="0" xfId="0" applyFont="1" applyFill="1" applyAlignment="1" applyProtection="1">
      <alignment horizontal="center" wrapText="1"/>
    </xf>
    <xf numFmtId="0" fontId="19" fillId="0" borderId="0" xfId="0" applyFont="1" applyFill="1" applyAlignment="1" applyProtection="1">
      <alignment horizontal="center" wrapText="1"/>
    </xf>
    <xf numFmtId="1" fontId="13" fillId="5" borderId="3" xfId="0" applyNumberFormat="1" applyFont="1" applyFill="1" applyBorder="1" applyAlignment="1" applyProtection="1">
      <alignment horizontal="center" vertical="center" wrapText="1"/>
    </xf>
    <xf numFmtId="0" fontId="13" fillId="14" borderId="0" xfId="0" applyFont="1" applyFill="1" applyBorder="1" applyAlignment="1" applyProtection="1">
      <alignment horizontal="left" vertical="center" wrapText="1"/>
    </xf>
    <xf numFmtId="165" fontId="17" fillId="14" borderId="31" xfId="0" applyNumberFormat="1" applyFont="1" applyFill="1" applyBorder="1" applyAlignment="1" applyProtection="1">
      <alignment horizontal="center" vertical="center" wrapText="1"/>
    </xf>
    <xf numFmtId="0" fontId="13" fillId="14" borderId="0" xfId="0" applyFont="1" applyFill="1" applyProtection="1"/>
    <xf numFmtId="9" fontId="13" fillId="5" borderId="3" xfId="3" applyFont="1" applyFill="1" applyBorder="1" applyAlignment="1" applyProtection="1">
      <alignment horizontal="center" vertical="center" wrapText="1"/>
    </xf>
    <xf numFmtId="0" fontId="13" fillId="14" borderId="0" xfId="0" applyFont="1" applyFill="1" applyBorder="1" applyAlignment="1" applyProtection="1">
      <alignment horizontal="left" vertical="center"/>
    </xf>
    <xf numFmtId="1" fontId="13" fillId="14" borderId="3" xfId="0" applyNumberFormat="1" applyFont="1" applyFill="1" applyBorder="1" applyAlignment="1" applyProtection="1">
      <alignment horizontal="center" vertical="center"/>
    </xf>
    <xf numFmtId="0" fontId="13" fillId="14" borderId="3" xfId="0" applyFont="1" applyFill="1" applyBorder="1" applyAlignment="1" applyProtection="1">
      <alignment horizontal="left" vertical="top" wrapText="1"/>
    </xf>
    <xf numFmtId="9" fontId="13" fillId="14" borderId="3" xfId="0" applyNumberFormat="1" applyFont="1" applyFill="1" applyBorder="1" applyAlignment="1" applyProtection="1">
      <alignment vertical="center"/>
    </xf>
    <xf numFmtId="9" fontId="13" fillId="14" borderId="3" xfId="3" applyFont="1" applyFill="1" applyBorder="1" applyAlignment="1" applyProtection="1">
      <alignment vertical="center"/>
    </xf>
    <xf numFmtId="1" fontId="13" fillId="14" borderId="3" xfId="3" applyNumberFormat="1" applyFont="1" applyFill="1" applyBorder="1" applyAlignment="1" applyProtection="1">
      <alignment horizontal="center" vertical="center" wrapText="1"/>
    </xf>
    <xf numFmtId="2" fontId="13" fillId="14" borderId="42" xfId="0" applyNumberFormat="1" applyFont="1" applyFill="1" applyBorder="1" applyAlignment="1" applyProtection="1">
      <alignment horizontal="center" vertical="center" wrapText="1"/>
    </xf>
    <xf numFmtId="0" fontId="13" fillId="14" borderId="3" xfId="0" applyFont="1" applyFill="1" applyBorder="1" applyAlignment="1" applyProtection="1">
      <alignment vertical="top" wrapText="1"/>
    </xf>
    <xf numFmtId="165" fontId="13" fillId="14" borderId="43" xfId="3" applyNumberFormat="1" applyFont="1" applyFill="1" applyBorder="1" applyAlignment="1" applyProtection="1">
      <alignment horizontal="center" vertical="center" wrapText="1"/>
    </xf>
    <xf numFmtId="0" fontId="13" fillId="14" borderId="43" xfId="0" applyFont="1" applyFill="1" applyBorder="1" applyAlignment="1" applyProtection="1">
      <alignment horizontal="justify" vertical="center" wrapText="1"/>
    </xf>
    <xf numFmtId="165" fontId="13" fillId="14" borderId="44" xfId="3" applyNumberFormat="1" applyFont="1" applyFill="1" applyBorder="1" applyAlignment="1" applyProtection="1">
      <alignment horizontal="center" vertical="center" wrapText="1"/>
    </xf>
    <xf numFmtId="0" fontId="13" fillId="14" borderId="43" xfId="0" applyFont="1" applyFill="1" applyBorder="1" applyAlignment="1" applyProtection="1">
      <alignment horizontal="center" vertical="center" wrapText="1"/>
    </xf>
    <xf numFmtId="10" fontId="13" fillId="14" borderId="31" xfId="3" applyNumberFormat="1" applyFont="1" applyFill="1" applyBorder="1" applyAlignment="1" applyProtection="1">
      <alignment horizontal="center" vertical="center" wrapText="1"/>
    </xf>
    <xf numFmtId="0" fontId="13" fillId="14" borderId="31" xfId="0" applyFont="1" applyFill="1" applyBorder="1" applyAlignment="1" applyProtection="1">
      <alignment horizontal="justify" vertical="center" wrapText="1"/>
    </xf>
    <xf numFmtId="2" fontId="13" fillId="14" borderId="3" xfId="3" applyNumberFormat="1" applyFont="1" applyFill="1" applyBorder="1" applyAlignment="1" applyProtection="1">
      <alignment horizontal="center" vertical="center" wrapText="1"/>
    </xf>
    <xf numFmtId="0" fontId="32" fillId="14" borderId="43" xfId="0" applyFont="1" applyFill="1" applyBorder="1" applyAlignment="1" applyProtection="1">
      <alignment horizontal="left" vertical="top" wrapText="1"/>
    </xf>
    <xf numFmtId="0" fontId="13" fillId="14" borderId="3" xfId="7" applyFont="1" applyFill="1" applyBorder="1" applyAlignment="1" applyProtection="1">
      <alignment horizontal="justify" vertical="center" wrapText="1"/>
    </xf>
    <xf numFmtId="0" fontId="13" fillId="14" borderId="0" xfId="8" applyFont="1" applyFill="1" applyBorder="1" applyAlignment="1" applyProtection="1">
      <alignment horizontal="left" vertical="center" wrapText="1"/>
    </xf>
    <xf numFmtId="1" fontId="13" fillId="14" borderId="3" xfId="1" applyNumberFormat="1" applyFont="1" applyFill="1" applyBorder="1" applyAlignment="1" applyProtection="1">
      <alignment horizontal="center" vertical="center" wrapText="1"/>
    </xf>
    <xf numFmtId="0" fontId="13" fillId="14" borderId="0" xfId="8" applyFont="1" applyFill="1" applyBorder="1" applyAlignment="1" applyProtection="1">
      <alignment horizontal="left" vertical="center"/>
    </xf>
    <xf numFmtId="0" fontId="13" fillId="14" borderId="3" xfId="0" applyFont="1" applyFill="1" applyBorder="1" applyAlignment="1" applyProtection="1">
      <alignment horizontal="justify" vertical="center"/>
    </xf>
    <xf numFmtId="165" fontId="13" fillId="17" borderId="3" xfId="4" applyNumberFormat="1" applyFont="1" applyFill="1" applyBorder="1" applyAlignment="1" applyProtection="1">
      <alignment horizontal="center" vertical="center" wrapText="1"/>
    </xf>
    <xf numFmtId="0" fontId="13" fillId="14" borderId="0" xfId="0" applyFont="1" applyFill="1" applyBorder="1" applyProtection="1"/>
    <xf numFmtId="0" fontId="13" fillId="14" borderId="3" xfId="0" applyFont="1" applyFill="1" applyBorder="1" applyAlignment="1" applyProtection="1">
      <alignment horizontal="justify"/>
    </xf>
    <xf numFmtId="0" fontId="17" fillId="14" borderId="0" xfId="0" applyFont="1" applyFill="1" applyAlignment="1" applyProtection="1">
      <alignment horizontal="center"/>
    </xf>
    <xf numFmtId="0" fontId="17" fillId="14" borderId="0" xfId="0" applyFont="1" applyFill="1" applyAlignment="1" applyProtection="1">
      <alignment horizontal="left"/>
    </xf>
    <xf numFmtId="0" fontId="17" fillId="14" borderId="0" xfId="0" applyFont="1" applyFill="1" applyAlignment="1" applyProtection="1">
      <alignment horizontal="left" wrapText="1"/>
    </xf>
    <xf numFmtId="10" fontId="17" fillId="14" borderId="0" xfId="4" applyNumberFormat="1" applyFont="1" applyFill="1" applyAlignment="1" applyProtection="1">
      <alignment horizontal="left" vertical="center"/>
    </xf>
    <xf numFmtId="0" fontId="17" fillId="14" borderId="0" xfId="0" applyFont="1" applyFill="1" applyAlignment="1" applyProtection="1">
      <alignment horizontal="center" vertical="center"/>
    </xf>
    <xf numFmtId="14" fontId="17" fillId="14" borderId="0" xfId="0" applyNumberFormat="1" applyFont="1" applyFill="1" applyAlignment="1" applyProtection="1">
      <alignment horizontal="center" vertical="center"/>
    </xf>
    <xf numFmtId="0" fontId="17" fillId="14" borderId="0" xfId="0" applyFont="1" applyFill="1" applyAlignment="1" applyProtection="1">
      <alignment horizontal="left" vertical="center"/>
    </xf>
    <xf numFmtId="10" fontId="17" fillId="0" borderId="0" xfId="4" applyNumberFormat="1" applyFont="1" applyAlignment="1" applyProtection="1">
      <alignment horizontal="left" vertical="center"/>
    </xf>
    <xf numFmtId="0" fontId="11" fillId="8" borderId="21" xfId="0" applyFont="1" applyFill="1" applyBorder="1" applyAlignment="1" applyProtection="1">
      <alignment horizontal="center" vertical="center" wrapText="1"/>
      <protection locked="0"/>
    </xf>
    <xf numFmtId="0" fontId="18" fillId="6" borderId="26" xfId="0" applyFont="1" applyFill="1" applyBorder="1" applyAlignment="1" applyProtection="1">
      <alignment horizontal="center" vertical="center" wrapText="1"/>
      <protection locked="0"/>
    </xf>
    <xf numFmtId="9" fontId="13" fillId="35" borderId="3" xfId="0" applyNumberFormat="1" applyFont="1" applyFill="1" applyBorder="1" applyAlignment="1" applyProtection="1">
      <alignment vertical="center"/>
      <protection locked="0"/>
    </xf>
    <xf numFmtId="0" fontId="13" fillId="35" borderId="3" xfId="0" applyFont="1" applyFill="1" applyBorder="1" applyAlignment="1" applyProtection="1">
      <alignment vertical="center"/>
      <protection locked="0"/>
    </xf>
    <xf numFmtId="9" fontId="13" fillId="35" borderId="3" xfId="3" applyFont="1" applyFill="1" applyBorder="1" applyAlignment="1" applyProtection="1">
      <alignment vertical="center"/>
      <protection locked="0"/>
    </xf>
    <xf numFmtId="0" fontId="18" fillId="6" borderId="26" xfId="0" applyNumberFormat="1" applyFont="1" applyFill="1" applyBorder="1" applyAlignment="1" applyProtection="1">
      <alignment horizontal="center" vertical="center" wrapText="1"/>
      <protection locked="0"/>
    </xf>
    <xf numFmtId="165" fontId="18" fillId="6" borderId="26" xfId="0" applyNumberFormat="1" applyFont="1" applyFill="1" applyBorder="1" applyAlignment="1" applyProtection="1">
      <alignment horizontal="center" vertical="center" wrapText="1"/>
      <protection locked="0"/>
    </xf>
    <xf numFmtId="165" fontId="13" fillId="14" borderId="3" xfId="0" applyNumberFormat="1" applyFont="1" applyFill="1" applyBorder="1" applyAlignment="1" applyProtection="1">
      <alignment horizontal="center" vertical="center" wrapText="1"/>
      <protection locked="0"/>
    </xf>
    <xf numFmtId="10" fontId="23" fillId="21" borderId="3" xfId="0" applyNumberFormat="1" applyFont="1" applyFill="1" applyBorder="1" applyAlignment="1">
      <alignment horizontal="center" vertical="center" wrapText="1"/>
    </xf>
    <xf numFmtId="0" fontId="30" fillId="21" borderId="38" xfId="0" applyFont="1" applyFill="1" applyBorder="1" applyAlignment="1">
      <alignment horizontal="center" vertical="center" wrapText="1"/>
    </xf>
    <xf numFmtId="0" fontId="30" fillId="21" borderId="41" xfId="0" applyFont="1" applyFill="1" applyBorder="1" applyAlignment="1">
      <alignment horizontal="center" vertical="center" wrapText="1"/>
    </xf>
    <xf numFmtId="0" fontId="31" fillId="0" borderId="38" xfId="0" applyFont="1" applyBorder="1" applyAlignment="1">
      <alignment horizontal="left" vertical="center" wrapText="1"/>
    </xf>
    <xf numFmtId="0" fontId="31" fillId="0" borderId="41" xfId="0" applyFont="1" applyBorder="1" applyAlignment="1">
      <alignment horizontal="left" vertical="center" wrapText="1"/>
    </xf>
    <xf numFmtId="0" fontId="25" fillId="2" borderId="2"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xf>
    <xf numFmtId="0" fontId="21" fillId="21" borderId="38" xfId="0" applyFont="1" applyFill="1" applyBorder="1" applyAlignment="1">
      <alignment horizontal="center" vertical="center" wrapText="1"/>
    </xf>
    <xf numFmtId="0" fontId="21" fillId="21" borderId="39" xfId="0" applyFont="1" applyFill="1" applyBorder="1" applyAlignment="1">
      <alignment horizontal="center" vertical="center" wrapText="1"/>
    </xf>
    <xf numFmtId="0" fontId="0" fillId="0" borderId="32"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 fillId="0" borderId="32"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0" fillId="6" borderId="48" xfId="0" applyFont="1" applyFill="1" applyBorder="1" applyAlignment="1" applyProtection="1">
      <alignment horizontal="center" vertical="center" wrapText="1"/>
    </xf>
    <xf numFmtId="0" fontId="10" fillId="6" borderId="49" xfId="0" applyFont="1" applyFill="1" applyBorder="1" applyAlignment="1" applyProtection="1">
      <alignment horizontal="center" vertical="center" wrapText="1"/>
    </xf>
    <xf numFmtId="0" fontId="11" fillId="8" borderId="29" xfId="0" applyFont="1" applyFill="1" applyBorder="1" applyAlignment="1" applyProtection="1">
      <alignment horizontal="center" vertical="center" wrapText="1"/>
      <protection locked="0"/>
    </xf>
    <xf numFmtId="0" fontId="11" fillId="8" borderId="30" xfId="0" applyFont="1" applyFill="1" applyBorder="1" applyAlignment="1" applyProtection="1">
      <alignment horizontal="center" vertical="center" wrapText="1"/>
      <protection locked="0"/>
    </xf>
    <xf numFmtId="0" fontId="11" fillId="8" borderId="29" xfId="0" applyFont="1" applyFill="1" applyBorder="1" applyAlignment="1" applyProtection="1">
      <alignment horizontal="center" vertical="center" wrapText="1"/>
    </xf>
    <xf numFmtId="0" fontId="11" fillId="8" borderId="30" xfId="0" applyFont="1" applyFill="1" applyBorder="1" applyAlignment="1" applyProtection="1">
      <alignment horizontal="center" vertical="center" wrapText="1"/>
    </xf>
    <xf numFmtId="14" fontId="14" fillId="9" borderId="11" xfId="0" applyNumberFormat="1" applyFont="1" applyFill="1" applyBorder="1" applyAlignment="1" applyProtection="1">
      <alignment horizontal="center" vertical="center" wrapText="1"/>
    </xf>
    <xf numFmtId="14" fontId="14" fillId="9" borderId="12" xfId="0" applyNumberFormat="1" applyFont="1" applyFill="1" applyBorder="1" applyAlignment="1" applyProtection="1">
      <alignment horizontal="center" vertical="center" wrapText="1"/>
    </xf>
    <xf numFmtId="0" fontId="11" fillId="11" borderId="11" xfId="0" applyFont="1" applyFill="1" applyBorder="1" applyAlignment="1" applyProtection="1">
      <alignment horizontal="center" vertical="center" wrapText="1"/>
    </xf>
    <xf numFmtId="0" fontId="11" fillId="11" borderId="12"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8"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7" borderId="8" xfId="0" applyFont="1" applyFill="1" applyBorder="1" applyAlignment="1" applyProtection="1">
      <alignment horizontal="center" vertical="center" wrapText="1"/>
    </xf>
    <xf numFmtId="0" fontId="14" fillId="7" borderId="9" xfId="0"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wrapText="1"/>
    </xf>
    <xf numFmtId="0" fontId="26" fillId="5" borderId="5" xfId="0" applyFont="1" applyFill="1" applyBorder="1" applyAlignment="1" applyProtection="1">
      <alignment horizontal="center" vertical="center"/>
    </xf>
    <xf numFmtId="0" fontId="27" fillId="0" borderId="6" xfId="0" applyFont="1" applyBorder="1" applyAlignment="1" applyProtection="1">
      <alignment horizontal="center"/>
    </xf>
    <xf numFmtId="0" fontId="26" fillId="5" borderId="15" xfId="0" applyFont="1" applyFill="1" applyBorder="1" applyAlignment="1" applyProtection="1">
      <alignment horizontal="center" vertical="center"/>
    </xf>
    <xf numFmtId="0" fontId="26" fillId="5" borderId="16" xfId="0" applyFont="1" applyFill="1" applyBorder="1" applyAlignment="1" applyProtection="1">
      <alignment horizontal="center" vertical="center"/>
    </xf>
    <xf numFmtId="0" fontId="26" fillId="5" borderId="17" xfId="0" applyFont="1" applyFill="1" applyBorder="1" applyAlignment="1" applyProtection="1">
      <alignment horizontal="center" vertical="center"/>
    </xf>
    <xf numFmtId="0" fontId="11" fillId="10" borderId="11" xfId="0" applyFont="1" applyFill="1" applyBorder="1" applyAlignment="1" applyProtection="1">
      <alignment horizontal="center" vertical="center" wrapText="1"/>
    </xf>
    <xf numFmtId="0" fontId="11" fillId="10" borderId="12" xfId="0" applyFont="1" applyFill="1" applyBorder="1" applyAlignment="1" applyProtection="1">
      <alignment horizontal="center" vertical="center" wrapText="1"/>
    </xf>
    <xf numFmtId="0" fontId="11" fillId="10" borderId="19" xfId="0" applyFont="1" applyFill="1" applyBorder="1" applyAlignment="1" applyProtection="1">
      <alignment horizontal="center" vertical="center" wrapText="1"/>
    </xf>
    <xf numFmtId="0" fontId="11" fillId="10" borderId="20" xfId="0" applyFont="1" applyFill="1" applyBorder="1" applyAlignment="1" applyProtection="1">
      <alignment horizontal="center" vertical="center" wrapText="1"/>
    </xf>
    <xf numFmtId="0" fontId="14" fillId="7" borderId="11" xfId="0" applyFont="1" applyFill="1" applyBorder="1" applyAlignment="1" applyProtection="1">
      <alignment horizontal="center" vertical="center" wrapText="1"/>
    </xf>
    <xf numFmtId="0" fontId="14" fillId="7" borderId="12" xfId="0" applyFont="1" applyFill="1" applyBorder="1" applyAlignment="1" applyProtection="1">
      <alignment horizontal="center" vertical="center" wrapText="1"/>
    </xf>
    <xf numFmtId="0" fontId="11" fillId="6" borderId="7" xfId="0" applyFont="1" applyFill="1" applyBorder="1" applyAlignment="1" applyProtection="1">
      <alignment horizontal="center" vertical="center" wrapText="1"/>
    </xf>
    <xf numFmtId="0" fontId="14" fillId="18" borderId="8" xfId="0" applyFont="1" applyFill="1" applyBorder="1" applyAlignment="1" applyProtection="1">
      <alignment horizontal="center" vertical="center" wrapText="1"/>
    </xf>
    <xf numFmtId="0" fontId="14" fillId="18" borderId="9" xfId="0" applyFont="1" applyFill="1" applyBorder="1" applyAlignment="1" applyProtection="1">
      <alignment horizontal="center" vertical="center" wrapText="1"/>
    </xf>
    <xf numFmtId="0" fontId="14" fillId="1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protection locked="0"/>
    </xf>
    <xf numFmtId="0" fontId="11" fillId="8" borderId="12" xfId="0" applyFont="1" applyFill="1" applyBorder="1" applyAlignment="1" applyProtection="1">
      <alignment horizontal="center" vertical="center" wrapText="1"/>
      <protection locked="0"/>
    </xf>
    <xf numFmtId="165" fontId="11" fillId="19" borderId="11" xfId="0" applyNumberFormat="1" applyFont="1" applyFill="1" applyBorder="1" applyAlignment="1" applyProtection="1">
      <alignment horizontal="center" vertical="center" wrapText="1"/>
    </xf>
    <xf numFmtId="165" fontId="20" fillId="0" borderId="13" xfId="0" applyNumberFormat="1" applyFont="1" applyBorder="1" applyAlignment="1" applyProtection="1">
      <alignment wrapText="1"/>
    </xf>
    <xf numFmtId="165" fontId="20" fillId="0" borderId="12" xfId="0" applyNumberFormat="1" applyFont="1" applyBorder="1" applyAlignment="1" applyProtection="1">
      <alignment wrapText="1"/>
    </xf>
    <xf numFmtId="0" fontId="14" fillId="9" borderId="11" xfId="0" applyFont="1" applyFill="1" applyBorder="1" applyAlignment="1" applyProtection="1">
      <alignment horizontal="center" vertical="center" wrapText="1"/>
    </xf>
    <xf numFmtId="0" fontId="14" fillId="9" borderId="12" xfId="0" applyFont="1" applyFill="1" applyBorder="1" applyAlignment="1" applyProtection="1">
      <alignment horizontal="center" vertical="center" wrapText="1"/>
    </xf>
    <xf numFmtId="0" fontId="11" fillId="8" borderId="19" xfId="0" applyFont="1" applyFill="1" applyBorder="1" applyAlignment="1" applyProtection="1">
      <alignment horizontal="center" vertical="center" wrapText="1"/>
    </xf>
    <xf numFmtId="0" fontId="11" fillId="8" borderId="27"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4" fillId="9" borderId="8" xfId="0" applyFont="1" applyFill="1" applyBorder="1" applyAlignment="1" applyProtection="1">
      <alignment horizontal="center" vertical="center" wrapText="1"/>
    </xf>
    <xf numFmtId="0" fontId="14" fillId="9" borderId="9" xfId="0" applyFont="1" applyFill="1" applyBorder="1" applyAlignment="1" applyProtection="1">
      <alignment horizontal="center" vertical="center" wrapText="1"/>
    </xf>
    <xf numFmtId="0" fontId="14" fillId="9" borderId="10" xfId="0" applyFont="1" applyFill="1" applyBorder="1" applyAlignment="1" applyProtection="1">
      <alignment horizontal="center" vertical="center" wrapText="1"/>
    </xf>
    <xf numFmtId="165" fontId="15" fillId="13" borderId="3" xfId="4" applyNumberFormat="1" applyFont="1" applyFill="1" applyBorder="1" applyAlignment="1" applyProtection="1">
      <alignment horizontal="center" vertical="center" wrapText="1"/>
    </xf>
    <xf numFmtId="0" fontId="10" fillId="12" borderId="3" xfId="0" applyFont="1" applyFill="1" applyBorder="1" applyAlignment="1" applyProtection="1">
      <alignment horizontal="center" vertical="center" wrapText="1"/>
    </xf>
    <xf numFmtId="10" fontId="15" fillId="13" borderId="3" xfId="4" applyNumberFormat="1" applyFont="1" applyFill="1" applyBorder="1" applyAlignment="1" applyProtection="1">
      <alignment horizontal="center" vertical="center" wrapText="1"/>
    </xf>
    <xf numFmtId="0" fontId="11" fillId="8" borderId="45" xfId="0" applyFont="1" applyFill="1" applyBorder="1" applyAlignment="1" applyProtection="1">
      <alignment horizontal="center" vertical="center" wrapText="1"/>
    </xf>
    <xf numFmtId="0" fontId="11" fillId="8" borderId="46" xfId="0" applyFont="1" applyFill="1" applyBorder="1" applyAlignment="1" applyProtection="1">
      <alignment horizontal="center" vertical="center" wrapText="1"/>
    </xf>
    <xf numFmtId="0" fontId="11" fillId="8" borderId="47" xfId="0" applyFont="1" applyFill="1" applyBorder="1" applyAlignment="1" applyProtection="1">
      <alignment horizontal="center" vertical="center" wrapText="1"/>
    </xf>
    <xf numFmtId="0" fontId="11" fillId="8" borderId="37" xfId="0" applyFont="1" applyFill="1" applyBorder="1" applyAlignment="1" applyProtection="1">
      <alignment horizontal="center" vertical="center" wrapText="1"/>
    </xf>
    <xf numFmtId="0" fontId="10" fillId="6" borderId="21"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11" fillId="8" borderId="20"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28" xfId="0" applyFont="1" applyFill="1" applyBorder="1" applyAlignment="1" applyProtection="1">
      <alignment horizontal="center" vertical="center" wrapText="1"/>
    </xf>
  </cellXfs>
  <cellStyles count="33">
    <cellStyle name="Millares" xfId="1" builtinId="3"/>
    <cellStyle name="Millares [0]" xfId="27" builtinId="6"/>
    <cellStyle name="Millares [0] 2" xfId="14" xr:uid="{00000000-0005-0000-0000-000002000000}"/>
    <cellStyle name="Millares 2" xfId="15" xr:uid="{00000000-0005-0000-0000-000003000000}"/>
    <cellStyle name="Millares 3" xfId="20" xr:uid="{00000000-0005-0000-0000-000004000000}"/>
    <cellStyle name="Millares 4" xfId="22" xr:uid="{00000000-0005-0000-0000-000005000000}"/>
    <cellStyle name="Millares 5" xfId="21" xr:uid="{00000000-0005-0000-0000-000006000000}"/>
    <cellStyle name="Millares 6" xfId="23" xr:uid="{00000000-0005-0000-0000-000007000000}"/>
    <cellStyle name="Millares 7" xfId="19" xr:uid="{00000000-0005-0000-0000-000008000000}"/>
    <cellStyle name="Millares 8" xfId="24" xr:uid="{00000000-0005-0000-0000-000009000000}"/>
    <cellStyle name="Millares 9" xfId="25" xr:uid="{00000000-0005-0000-0000-00000A000000}"/>
    <cellStyle name="Moneda [0]" xfId="2" builtinId="7"/>
    <cellStyle name="Moneda [0] 2" xfId="9" xr:uid="{00000000-0005-0000-0000-00000C000000}"/>
    <cellStyle name="Moneda [0] 3" xfId="26" xr:uid="{00000000-0005-0000-0000-00000D000000}"/>
    <cellStyle name="Moneda [0] 4" xfId="28" xr:uid="{A7198167-D109-BE40-8615-BEF7091BE8BF}"/>
    <cellStyle name="Moneda 2" xfId="10" xr:uid="{00000000-0005-0000-0000-00000E000000}"/>
    <cellStyle name="Moneda 2 2" xfId="30" xr:uid="{8B6F0B2B-712C-4D80-8858-2CF23F03BF97}"/>
    <cellStyle name="Moneda 3" xfId="29" xr:uid="{2EBEEDE2-3C89-4B18-8C27-00A41394B140}"/>
    <cellStyle name="Normal" xfId="0" builtinId="0"/>
    <cellStyle name="Normal 10" xfId="13" xr:uid="{00000000-0005-0000-0000-000010000000}"/>
    <cellStyle name="Normal 13" xfId="32" xr:uid="{145AAC5B-C078-4389-8D9E-FB846828CB76}"/>
    <cellStyle name="Normal 2" xfId="18" xr:uid="{00000000-0005-0000-0000-000011000000}"/>
    <cellStyle name="Normal 2 2" xfId="12" xr:uid="{00000000-0005-0000-0000-000012000000}"/>
    <cellStyle name="Normal 3" xfId="17" xr:uid="{00000000-0005-0000-0000-000013000000}"/>
    <cellStyle name="Normal 4" xfId="8" xr:uid="{00000000-0005-0000-0000-000014000000}"/>
    <cellStyle name="Normal 6" xfId="7" xr:uid="{00000000-0005-0000-0000-000015000000}"/>
    <cellStyle name="Normal 7" xfId="5" xr:uid="{00000000-0005-0000-0000-000016000000}"/>
    <cellStyle name="Normal 8" xfId="6" xr:uid="{00000000-0005-0000-0000-000017000000}"/>
    <cellStyle name="Normal 9" xfId="16" xr:uid="{00000000-0005-0000-0000-000018000000}"/>
    <cellStyle name="Porcentaje" xfId="3" builtinId="5"/>
    <cellStyle name="Porcentaje 2" xfId="4" xr:uid="{00000000-0005-0000-0000-00001A000000}"/>
    <cellStyle name="Porcentaje 2 2" xfId="31" xr:uid="{B8EE7548-8ED5-40F8-8C64-0F36A5881931}"/>
    <cellStyle name="Porcentaje 4" xfId="11" xr:uid="{00000000-0005-0000-0000-00001B000000}"/>
  </cellStyles>
  <dxfs count="59">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theme="8" tint="-0.24994659260841701"/>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theme="0" tint="-0.14996795556505021"/>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s>
  <tableStyles count="0" defaultTableStyle="TableStyleMedium2" defaultPivotStyle="PivotStyleLight16"/>
  <colors>
    <mruColors>
      <color rgb="FFFF66FF"/>
      <color rgb="FFFF5050"/>
      <color rgb="FFE26714"/>
      <color rgb="FFFF3300"/>
      <color rgb="FFFF6600"/>
      <color rgb="FFCC4F0A"/>
      <color rgb="FFC7480F"/>
      <color rgb="FF26BC08"/>
      <color rgb="FFFF7171"/>
      <color rgb="FF306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t>Promedio de avance </a:t>
            </a:r>
            <a:r>
              <a:rPr lang="en-US" sz="1800" b="1" i="0" u="none" strike="noStrike" cap="all" baseline="0">
                <a:effectLst/>
              </a:rPr>
              <a:t>en el cuatrienio </a:t>
            </a:r>
            <a:r>
              <a:rPr lang="en-US"/>
              <a:t>de los OBJETIVOS SEGÚN PRIORIDADES</a:t>
            </a:r>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Avances!$T$16:$T$17</c:f>
              <c:strCache>
                <c:ptCount val="2"/>
                <c:pt idx="0">
                  <c:v>Promedio de avance de las prioridades</c:v>
                </c:pt>
                <c:pt idx="1">
                  <c:v>Avance prioridad</c:v>
                </c:pt>
              </c:strCache>
            </c:strRef>
          </c:tx>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10800000" scaled="1"/>
              <a:tileRect/>
            </a:gra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2-7C56-436F-A132-9C39661ADC79}"/>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3-7C56-436F-A132-9C39661ADC79}"/>
              </c:ext>
            </c:extLst>
          </c:dPt>
          <c:dPt>
            <c:idx val="2"/>
            <c:invertIfNegative val="0"/>
            <c:bubble3D val="0"/>
            <c:spPr>
              <a:solidFill>
                <a:srgbClr val="FFFF00"/>
              </a:solidFill>
              <a:ln>
                <a:noFill/>
              </a:ln>
              <a:effectLst/>
            </c:spPr>
            <c:extLst>
              <c:ext xmlns:c16="http://schemas.microsoft.com/office/drawing/2014/chart" uri="{C3380CC4-5D6E-409C-BE32-E72D297353CC}">
                <c16:uniqueId val="{00000004-7C56-436F-A132-9C39661ADC79}"/>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7C56-436F-A132-9C39661ADC79}"/>
              </c:ext>
            </c:extLst>
          </c:dPt>
          <c:dPt>
            <c:idx val="4"/>
            <c:invertIfNegative val="0"/>
            <c:bubble3D val="0"/>
            <c:spPr>
              <a:solidFill>
                <a:srgbClr val="FFC000"/>
              </a:solidFill>
              <a:ln>
                <a:noFill/>
              </a:ln>
              <a:effectLst/>
            </c:spPr>
            <c:extLst>
              <c:ext xmlns:c16="http://schemas.microsoft.com/office/drawing/2014/chart" uri="{C3380CC4-5D6E-409C-BE32-E72D297353CC}">
                <c16:uniqueId val="{00000006-7C56-436F-A132-9C39661ADC79}"/>
              </c:ext>
            </c:extLst>
          </c:dPt>
          <c:dPt>
            <c:idx val="5"/>
            <c:invertIfNegative val="0"/>
            <c:bubble3D val="0"/>
            <c:spPr>
              <a:solidFill>
                <a:srgbClr val="FFFF00"/>
              </a:solidFill>
              <a:ln>
                <a:noFill/>
              </a:ln>
              <a:effectLst/>
            </c:spPr>
            <c:extLst>
              <c:ext xmlns:c16="http://schemas.microsoft.com/office/drawing/2014/chart" uri="{C3380CC4-5D6E-409C-BE32-E72D297353CC}">
                <c16:uniqueId val="{00000007-7C56-436F-A132-9C39661ADC7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Avances!$B$18:$B$23</c:f>
              <c:strCache>
                <c:ptCount val="6"/>
                <c:pt idx="0">
                  <c:v>1. Garantizar la seguridad jurídica y la efectiva divulgación normativa de las ramas del poder público</c:v>
                </c:pt>
                <c:pt idx="1">
                  <c:v>2. Propiciar la seguridad y convivencia ciudadana, el orden público, así como la atención y control en situaciones que vulneren o amenacen a la población</c:v>
                </c:pt>
                <c:pt idx="2">
                  <c:v>3. Fortalecer la articulación entre la Nación y el territorio, promoviendo la gobernabilidad, la democracia, el respeto por la libertad de cultos, la participación social, política y comunitaria</c:v>
                </c:pt>
                <c:pt idx="3">
                  <c:v>4. Promover y proteger los derechos humanos, especialmente la vida, la libertad, la seguridad, así como los derechos de autor y conexos, fundamentados en la cultura de legalidad y emprendimiento</c:v>
                </c:pt>
                <c:pt idx="4">
                  <c:v>5. Fortalecer el diálogo social e intercultural Estado – Comunidades, garantizando el derecho fundamental a la consulta previa y promoviendo estrategias que contribuyan a la equidad y el desarrollo de los pueblos indígenas, Rrom; y comunidades Negras, Afro</c:v>
                </c:pt>
                <c:pt idx="5">
                  <c:v>6. Fortalecer la gestión y desempeño del Sector Interior</c:v>
                </c:pt>
              </c:strCache>
            </c:strRef>
          </c:cat>
          <c:val>
            <c:numRef>
              <c:f>Avances!$T$18:$T$23</c:f>
              <c:numCache>
                <c:formatCode>0.0%</c:formatCode>
                <c:ptCount val="6"/>
                <c:pt idx="0">
                  <c:v>0.80000333333333329</c:v>
                </c:pt>
                <c:pt idx="1">
                  <c:v>0.7260994397759104</c:v>
                </c:pt>
                <c:pt idx="2">
                  <c:v>0.98560158758910843</c:v>
                </c:pt>
                <c:pt idx="3">
                  <c:v>0.68476782278481019</c:v>
                </c:pt>
                <c:pt idx="4">
                  <c:v>0.48204738176930162</c:v>
                </c:pt>
                <c:pt idx="5">
                  <c:v>0.62160030395136778</c:v>
                </c:pt>
              </c:numCache>
            </c:numRef>
          </c:val>
          <c:extLst>
            <c:ext xmlns:c16="http://schemas.microsoft.com/office/drawing/2014/chart" uri="{C3380CC4-5D6E-409C-BE32-E72D297353CC}">
              <c16:uniqueId val="{00000000-7C56-436F-A132-9C39661ADC79}"/>
            </c:ext>
          </c:extLst>
        </c:ser>
        <c:dLbls>
          <c:showLegendKey val="0"/>
          <c:showVal val="1"/>
          <c:showCatName val="0"/>
          <c:showSerName val="0"/>
          <c:showPercent val="0"/>
          <c:showBubbleSize val="0"/>
        </c:dLbls>
        <c:gapWidth val="150"/>
        <c:overlap val="-25"/>
        <c:axId val="101262256"/>
        <c:axId val="101261080"/>
      </c:barChart>
      <c:catAx>
        <c:axId val="101262256"/>
        <c:scaling>
          <c:orientation val="minMax"/>
        </c:scaling>
        <c:delete val="0"/>
        <c:axPos val="l"/>
        <c:numFmt formatCode="General" sourceLinked="1"/>
        <c:majorTickMark val="none"/>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101261080"/>
        <c:crosses val="autoZero"/>
        <c:auto val="1"/>
        <c:lblAlgn val="ctr"/>
        <c:lblOffset val="100"/>
        <c:noMultiLvlLbl val="0"/>
      </c:catAx>
      <c:valAx>
        <c:axId val="101261080"/>
        <c:scaling>
          <c:orientation val="minMax"/>
        </c:scaling>
        <c:delete val="1"/>
        <c:axPos val="b"/>
        <c:numFmt formatCode="0.0%" sourceLinked="1"/>
        <c:majorTickMark val="none"/>
        <c:minorTickMark val="none"/>
        <c:tickLblPos val="nextTo"/>
        <c:crossAx val="101262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r>
              <a:rPr lang="en-US" b="1"/>
              <a:t>PROMEDIO DE AVANCE</a:t>
            </a:r>
            <a:r>
              <a:rPr lang="en-US" b="1" baseline="0"/>
              <a:t> EN EL CUATRIENIO DE LA ENTIDAD SEGÚN PRIORIDADES</a:t>
            </a:r>
          </a:p>
        </c:rich>
      </c:tx>
      <c:overlay val="0"/>
      <c:spPr>
        <a:noFill/>
        <a:ln>
          <a:noFill/>
        </a:ln>
        <a:effectLst/>
      </c:spPr>
      <c:txPr>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Avances!$T$28:$T$29</c:f>
              <c:strCache>
                <c:ptCount val="2"/>
                <c:pt idx="0">
                  <c:v>Promedio de avance de las prioridades</c:v>
                </c:pt>
                <c:pt idx="1">
                  <c:v>Avance prioridad</c:v>
                </c:pt>
              </c:strCache>
            </c:strRef>
          </c:tx>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Pt>
            <c:idx val="0"/>
            <c:invertIfNegative val="0"/>
            <c:bubble3D val="0"/>
            <c:spPr>
              <a:solidFill>
                <a:srgbClr val="FF505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6-979E-4F80-B21A-402125A4F56D}"/>
              </c:ext>
            </c:extLst>
          </c:dPt>
          <c:dPt>
            <c:idx val="1"/>
            <c:invertIfNegative val="0"/>
            <c:bubble3D val="0"/>
            <c:spPr>
              <a:solidFill>
                <a:schemeClr val="accent6"/>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5-979E-4F80-B21A-402125A4F56D}"/>
              </c:ext>
            </c:extLst>
          </c:dPt>
          <c:dPt>
            <c:idx val="2"/>
            <c:invertIfNegative val="0"/>
            <c:bubble3D val="0"/>
            <c:spPr>
              <a:solidFill>
                <a:schemeClr val="accent6"/>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4-979E-4F80-B21A-402125A4F56D}"/>
              </c:ext>
            </c:extLst>
          </c:dPt>
          <c:dPt>
            <c:idx val="3"/>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3-979E-4F80-B21A-402125A4F56D}"/>
              </c:ext>
            </c:extLst>
          </c:dPt>
          <c:dPt>
            <c:idx val="4"/>
            <c:invertIfNegative val="0"/>
            <c:bubble3D val="0"/>
            <c:spPr>
              <a:solidFill>
                <a:srgbClr val="FFFF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2-979E-4F80-B21A-402125A4F56D}"/>
              </c:ext>
            </c:extLst>
          </c:dPt>
          <c:dPt>
            <c:idx val="5"/>
            <c:invertIfNegative val="0"/>
            <c:bubble3D val="0"/>
            <c:spPr>
              <a:solidFill>
                <a:srgbClr val="FFFF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7-979E-4F80-B21A-402125A4F56D}"/>
              </c:ext>
            </c:extLst>
          </c:dPt>
          <c:dLbls>
            <c:dLbl>
              <c:idx val="5"/>
              <c:layout>
                <c:manualLayout>
                  <c:x val="3.9243175279642384E-3"/>
                  <c:y val="0.1934465442989317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9E-4F80-B21A-402125A4F56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Avances!$B$30:$B$35</c:f>
              <c:strCache>
                <c:ptCount val="6"/>
                <c:pt idx="0">
                  <c:v>Corporación Nasa Kiwe</c:v>
                </c:pt>
                <c:pt idx="1">
                  <c:v>Dirección Nacional de Bomberos</c:v>
                </c:pt>
                <c:pt idx="2">
                  <c:v>Dirección Nacional de Derechos de Autor</c:v>
                </c:pt>
                <c:pt idx="3">
                  <c:v>Imprenta Nacional de Colombia</c:v>
                </c:pt>
                <c:pt idx="4">
                  <c:v>Ministerio del Interior</c:v>
                </c:pt>
                <c:pt idx="5">
                  <c:v>Unidad Nacional de Protección</c:v>
                </c:pt>
              </c:strCache>
            </c:strRef>
          </c:cat>
          <c:val>
            <c:numRef>
              <c:f>Avances!$T$30:$T$35</c:f>
              <c:numCache>
                <c:formatCode>0.0%</c:formatCode>
                <c:ptCount val="6"/>
                <c:pt idx="0">
                  <c:v>0.25555555555555554</c:v>
                </c:pt>
                <c:pt idx="1">
                  <c:v>0.76690476190476187</c:v>
                </c:pt>
                <c:pt idx="2">
                  <c:v>0.84680666666666671</c:v>
                </c:pt>
                <c:pt idx="3">
                  <c:v>0.47499999999999998</c:v>
                </c:pt>
                <c:pt idx="4">
                  <c:v>0.78414664055744265</c:v>
                </c:pt>
                <c:pt idx="5">
                  <c:v>0.73292624831672515</c:v>
                </c:pt>
              </c:numCache>
            </c:numRef>
          </c:val>
          <c:extLst>
            <c:ext xmlns:c16="http://schemas.microsoft.com/office/drawing/2014/chart" uri="{C3380CC4-5D6E-409C-BE32-E72D297353CC}">
              <c16:uniqueId val="{00000000-979E-4F80-B21A-402125A4F56D}"/>
            </c:ext>
          </c:extLst>
        </c:ser>
        <c:dLbls>
          <c:dLblPos val="inEnd"/>
          <c:showLegendKey val="0"/>
          <c:showVal val="1"/>
          <c:showCatName val="0"/>
          <c:showSerName val="0"/>
          <c:showPercent val="0"/>
          <c:showBubbleSize val="0"/>
        </c:dLbls>
        <c:gapWidth val="41"/>
        <c:axId val="101256376"/>
        <c:axId val="101262648"/>
      </c:barChart>
      <c:catAx>
        <c:axId val="1012563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effectLst/>
                <a:latin typeface="+mn-lt"/>
                <a:ea typeface="+mn-ea"/>
                <a:cs typeface="+mn-cs"/>
              </a:defRPr>
            </a:pPr>
            <a:endParaRPr lang="es-CO"/>
          </a:p>
        </c:txPr>
        <c:crossAx val="101262648"/>
        <c:crosses val="autoZero"/>
        <c:auto val="1"/>
        <c:lblAlgn val="ctr"/>
        <c:lblOffset val="100"/>
        <c:noMultiLvlLbl val="0"/>
      </c:catAx>
      <c:valAx>
        <c:axId val="101262648"/>
        <c:scaling>
          <c:orientation val="minMax"/>
        </c:scaling>
        <c:delete val="1"/>
        <c:axPos val="l"/>
        <c:numFmt formatCode="0.0%" sourceLinked="1"/>
        <c:majorTickMark val="none"/>
        <c:minorTickMark val="none"/>
        <c:tickLblPos val="nextTo"/>
        <c:crossAx val="1012563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9050" cap="flat" cmpd="sng" algn="ctr">
        <a:solidFill>
          <a:schemeClr val="tx1">
            <a:lumMod val="15000"/>
            <a:lumOff val="8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99000">
              <a:schemeClr val="tx1">
                <a:lumMod val="25000"/>
                <a:lumOff val="75000"/>
              </a:schemeClr>
            </a:gs>
            <a:gs pos="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15000"/>
                <a:lumOff val="85000"/>
              </a:schemeClr>
            </a:gs>
            <a:gs pos="0">
              <a:schemeClr val="tx1">
                <a:lumMod val="5000"/>
                <a:lumOff val="9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36379</xdr:colOff>
      <xdr:row>1</xdr:row>
      <xdr:rowOff>66586</xdr:rowOff>
    </xdr:from>
    <xdr:to>
      <xdr:col>1</xdr:col>
      <xdr:colOff>933894</xdr:colOff>
      <xdr:row>1</xdr:row>
      <xdr:rowOff>309217</xdr:rowOff>
    </xdr:to>
    <xdr:pic>
      <xdr:nvPicPr>
        <xdr:cNvPr id="2" name="Imagen 4" descr="Logo Ministerio del Interio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162" y="259847"/>
          <a:ext cx="897515" cy="242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163285</xdr:colOff>
      <xdr:row>14</xdr:row>
      <xdr:rowOff>163286</xdr:rowOff>
    </xdr:from>
    <xdr:to>
      <xdr:col>31</xdr:col>
      <xdr:colOff>408215</xdr:colOff>
      <xdr:row>23</xdr:row>
      <xdr:rowOff>190500</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213178</xdr:colOff>
      <xdr:row>25</xdr:row>
      <xdr:rowOff>97973</xdr:rowOff>
    </xdr:from>
    <xdr:to>
      <xdr:col>31</xdr:col>
      <xdr:colOff>507999</xdr:colOff>
      <xdr:row>39</xdr:row>
      <xdr:rowOff>117929</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11113</xdr:colOff>
      <xdr:row>34</xdr:row>
      <xdr:rowOff>119063</xdr:rowOff>
    </xdr:from>
    <xdr:to>
      <xdr:col>3</xdr:col>
      <xdr:colOff>156707</xdr:colOff>
      <xdr:row>34</xdr:row>
      <xdr:rowOff>252413</xdr:rowOff>
    </xdr:to>
    <xdr:sp macro="" textlink="">
      <xdr:nvSpPr>
        <xdr:cNvPr id="8" name="Elipse 7">
          <a:extLst>
            <a:ext uri="{FF2B5EF4-FFF2-40B4-BE49-F238E27FC236}">
              <a16:creationId xmlns:a16="http://schemas.microsoft.com/office/drawing/2014/main" id="{00000000-0008-0000-0000-000008000000}"/>
            </a:ext>
          </a:extLst>
        </xdr:cNvPr>
        <xdr:cNvSpPr/>
      </xdr:nvSpPr>
      <xdr:spPr>
        <a:xfrm>
          <a:off x="3963988" y="13989844"/>
          <a:ext cx="145594" cy="133350"/>
        </a:xfrm>
        <a:prstGeom prst="ellipse">
          <a:avLst/>
        </a:prstGeom>
        <a:solidFill>
          <a:srgbClr val="E26714"/>
        </a:solidFill>
        <a:ln>
          <a:solidFill>
            <a:srgbClr val="E267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3</xdr:col>
      <xdr:colOff>11907</xdr:colOff>
      <xdr:row>20</xdr:row>
      <xdr:rowOff>500063</xdr:rowOff>
    </xdr:from>
    <xdr:to>
      <xdr:col>3</xdr:col>
      <xdr:colOff>168614</xdr:colOff>
      <xdr:row>20</xdr:row>
      <xdr:rowOff>633413</xdr:rowOff>
    </xdr:to>
    <xdr:sp macro="" textlink="">
      <xdr:nvSpPr>
        <xdr:cNvPr id="12" name="Elipse 11">
          <a:extLst>
            <a:ext uri="{FF2B5EF4-FFF2-40B4-BE49-F238E27FC236}">
              <a16:creationId xmlns:a16="http://schemas.microsoft.com/office/drawing/2014/main" id="{7DF4CD34-DCE0-4E23-A8A7-7D4BB54D2704}"/>
            </a:ext>
          </a:extLst>
        </xdr:cNvPr>
        <xdr:cNvSpPr/>
      </xdr:nvSpPr>
      <xdr:spPr>
        <a:xfrm>
          <a:off x="3964782" y="7739063"/>
          <a:ext cx="156707" cy="133350"/>
        </a:xfrm>
        <a:prstGeom prst="ellipse">
          <a:avLst/>
        </a:prstGeom>
        <a:solidFill>
          <a:srgbClr val="E26714"/>
        </a:solidFill>
        <a:ln>
          <a:solidFill>
            <a:srgbClr val="E267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M36"/>
  <sheetViews>
    <sheetView showGridLines="0" topLeftCell="B1" zoomScale="60" zoomScaleNormal="60" workbookViewId="0">
      <pane ySplit="2" topLeftCell="A3" activePane="bottomLeft" state="frozen"/>
      <selection activeCell="BA23" sqref="BA23"/>
      <selection pane="bottomLeft" activeCell="B4" sqref="B4:V4"/>
    </sheetView>
  </sheetViews>
  <sheetFormatPr baseColWidth="10" defaultColWidth="11.42578125" defaultRowHeight="15" x14ac:dyDescent="0.25"/>
  <cols>
    <col min="1" max="1" width="2.85546875" style="1" customWidth="1"/>
    <col min="2" max="2" width="56.42578125" style="2" customWidth="1"/>
    <col min="3" max="3" width="11.42578125" style="2" hidden="1" customWidth="1"/>
    <col min="4" max="4" width="14.7109375" style="2" customWidth="1"/>
    <col min="5" max="5" width="16.140625" style="2" customWidth="1"/>
    <col min="6" max="6" width="19.42578125" style="2" customWidth="1"/>
    <col min="7" max="11" width="18.85546875" style="2" customWidth="1"/>
    <col min="12" max="12" width="16.85546875" style="3" customWidth="1"/>
    <col min="13" max="13" width="16.140625" style="4" customWidth="1"/>
    <col min="14" max="14" width="19.42578125" style="4" customWidth="1"/>
    <col min="15" max="19" width="18.85546875" style="1" customWidth="1"/>
    <col min="20" max="21" width="15.42578125" style="5" customWidth="1"/>
    <col min="22" max="23" width="19.42578125" style="5" customWidth="1"/>
    <col min="24" max="24" width="2.140625" style="5" customWidth="1"/>
    <col min="25" max="25" width="11.42578125" style="5"/>
    <col min="26" max="26" width="20.42578125" style="5" customWidth="1"/>
    <col min="27" max="27" width="10" style="5" customWidth="1"/>
    <col min="28" max="16384" width="11.42578125" style="5"/>
  </cols>
  <sheetData>
    <row r="2" spans="2:23" ht="29.1" customHeight="1" x14ac:dyDescent="0.25">
      <c r="B2" s="321" t="s">
        <v>0</v>
      </c>
      <c r="C2" s="322"/>
      <c r="D2" s="322"/>
      <c r="E2" s="322"/>
      <c r="F2" s="322"/>
      <c r="G2" s="322"/>
      <c r="H2" s="322"/>
      <c r="I2" s="322"/>
      <c r="J2" s="322"/>
      <c r="K2" s="322"/>
      <c r="L2" s="322"/>
      <c r="M2" s="322"/>
      <c r="N2" s="322"/>
      <c r="O2" s="322"/>
      <c r="P2" s="322"/>
      <c r="Q2" s="322"/>
      <c r="R2" s="322"/>
      <c r="S2" s="322"/>
      <c r="T2" s="322"/>
      <c r="U2" s="322"/>
      <c r="V2" s="322"/>
      <c r="W2" s="322"/>
    </row>
    <row r="4" spans="2:23" x14ac:dyDescent="0.25">
      <c r="B4" s="325" t="s">
        <v>567</v>
      </c>
      <c r="C4" s="326"/>
      <c r="D4" s="326"/>
      <c r="E4" s="326"/>
      <c r="F4" s="326"/>
      <c r="G4" s="326"/>
      <c r="H4" s="326"/>
      <c r="I4" s="326"/>
      <c r="J4" s="326"/>
      <c r="K4" s="326"/>
      <c r="L4" s="326"/>
      <c r="M4" s="326"/>
      <c r="N4" s="326"/>
      <c r="O4" s="326"/>
      <c r="P4" s="326"/>
      <c r="Q4" s="326"/>
      <c r="R4" s="326"/>
      <c r="S4" s="326"/>
      <c r="T4" s="326"/>
      <c r="U4" s="326"/>
      <c r="V4" s="326"/>
    </row>
    <row r="5" spans="2:23" ht="17.100000000000001" customHeight="1" x14ac:dyDescent="0.25">
      <c r="B5" s="327" t="s">
        <v>4</v>
      </c>
      <c r="C5" s="328"/>
      <c r="D5" s="328"/>
      <c r="E5" s="328"/>
      <c r="F5" s="328"/>
      <c r="G5" s="328"/>
      <c r="H5" s="328"/>
      <c r="I5" s="328"/>
      <c r="J5" s="328"/>
      <c r="K5" s="328"/>
      <c r="L5" s="328"/>
      <c r="M5" s="328"/>
      <c r="N5" s="328"/>
      <c r="O5" s="328"/>
      <c r="P5" s="328"/>
      <c r="Q5" s="328"/>
      <c r="R5" s="328"/>
      <c r="S5" s="328"/>
      <c r="T5" s="328"/>
      <c r="U5" s="328"/>
      <c r="V5" s="328"/>
    </row>
    <row r="6" spans="2:23" ht="20.25" customHeight="1" x14ac:dyDescent="0.25">
      <c r="B6" s="325" t="s">
        <v>568</v>
      </c>
      <c r="C6" s="326"/>
      <c r="D6" s="326"/>
      <c r="E6" s="326"/>
      <c r="F6" s="326"/>
      <c r="G6" s="326"/>
      <c r="H6" s="326"/>
      <c r="I6" s="326"/>
      <c r="J6" s="326"/>
      <c r="K6" s="326"/>
      <c r="L6" s="326"/>
      <c r="M6" s="326"/>
      <c r="N6" s="326"/>
      <c r="O6" s="326"/>
      <c r="P6" s="326"/>
      <c r="Q6" s="326"/>
      <c r="R6" s="326"/>
      <c r="S6" s="326"/>
      <c r="T6" s="326"/>
      <c r="U6" s="326"/>
      <c r="V6" s="326"/>
    </row>
    <row r="7" spans="2:23" ht="14.45" customHeight="1" x14ac:dyDescent="0.25">
      <c r="B7" s="14"/>
      <c r="C7" s="15"/>
      <c r="D7" s="55"/>
      <c r="E7" s="55"/>
      <c r="F7" s="55"/>
      <c r="G7" s="55"/>
      <c r="H7" s="84"/>
      <c r="I7" s="84"/>
      <c r="J7" s="84"/>
      <c r="K7" s="84"/>
      <c r="L7" s="7"/>
    </row>
    <row r="8" spans="2:23" ht="20.100000000000001" customHeight="1" x14ac:dyDescent="0.25">
      <c r="B8" s="317" t="s">
        <v>462</v>
      </c>
      <c r="C8" s="318"/>
      <c r="D8" s="318"/>
      <c r="E8" s="318"/>
      <c r="F8" s="318"/>
      <c r="G8" s="318"/>
      <c r="H8" s="318"/>
      <c r="I8" s="318"/>
      <c r="J8" s="318"/>
      <c r="K8" s="318"/>
      <c r="L8" s="318"/>
      <c r="N8" s="323" t="s">
        <v>1</v>
      </c>
      <c r="O8" s="324"/>
      <c r="P8" s="5"/>
      <c r="Q8" s="5"/>
      <c r="R8" s="5"/>
      <c r="S8" s="5"/>
    </row>
    <row r="9" spans="2:23" ht="20.100000000000001" customHeight="1" x14ac:dyDescent="0.25">
      <c r="B9" s="319" t="s">
        <v>466</v>
      </c>
      <c r="C9" s="320"/>
      <c r="D9" s="320"/>
      <c r="E9" s="320"/>
      <c r="F9" s="320"/>
      <c r="G9" s="320"/>
      <c r="H9" s="320"/>
      <c r="I9" s="320"/>
      <c r="J9" s="320"/>
      <c r="K9" s="320"/>
      <c r="L9" s="320"/>
      <c r="N9" s="37" t="s">
        <v>2</v>
      </c>
      <c r="O9" s="38" t="s">
        <v>380</v>
      </c>
      <c r="P9" s="131"/>
      <c r="Q9" s="131"/>
      <c r="R9" s="131"/>
      <c r="S9" s="131"/>
    </row>
    <row r="10" spans="2:23" ht="20.100000000000001" customHeight="1" x14ac:dyDescent="0.25">
      <c r="B10" s="319" t="s">
        <v>463</v>
      </c>
      <c r="C10" s="320"/>
      <c r="D10" s="320"/>
      <c r="E10" s="320"/>
      <c r="F10" s="320"/>
      <c r="G10" s="320"/>
      <c r="H10" s="320"/>
      <c r="I10" s="320"/>
      <c r="J10" s="320"/>
      <c r="K10" s="320"/>
      <c r="L10" s="320"/>
      <c r="N10" s="39" t="s">
        <v>381</v>
      </c>
      <c r="O10" s="38" t="s">
        <v>382</v>
      </c>
      <c r="P10" s="131"/>
      <c r="Q10" s="131"/>
      <c r="R10" s="131"/>
      <c r="S10" s="131"/>
    </row>
    <row r="11" spans="2:23" ht="20.100000000000001" customHeight="1" x14ac:dyDescent="0.25">
      <c r="B11" s="319" t="s">
        <v>467</v>
      </c>
      <c r="C11" s="320"/>
      <c r="D11" s="320"/>
      <c r="E11" s="320"/>
      <c r="F11" s="320"/>
      <c r="G11" s="320"/>
      <c r="H11" s="320"/>
      <c r="I11" s="320"/>
      <c r="J11" s="320"/>
      <c r="K11" s="320"/>
      <c r="L11" s="320"/>
      <c r="N11" s="40" t="s">
        <v>3</v>
      </c>
      <c r="O11" s="38" t="s">
        <v>383</v>
      </c>
      <c r="P11" s="131"/>
      <c r="Q11" s="131"/>
      <c r="R11" s="131"/>
      <c r="S11" s="131"/>
    </row>
    <row r="12" spans="2:23" ht="20.100000000000001" customHeight="1" x14ac:dyDescent="0.25">
      <c r="B12" s="53"/>
      <c r="C12" s="54"/>
      <c r="F12" s="55"/>
      <c r="G12" s="55"/>
      <c r="H12" s="84"/>
      <c r="I12" s="84"/>
      <c r="J12" s="84"/>
      <c r="K12" s="84"/>
      <c r="N12" s="58" t="s">
        <v>5</v>
      </c>
      <c r="O12" s="38" t="s">
        <v>384</v>
      </c>
      <c r="P12" s="131"/>
      <c r="Q12" s="131"/>
      <c r="R12" s="131"/>
      <c r="S12" s="131"/>
    </row>
    <row r="13" spans="2:23" ht="44.25" customHeight="1" x14ac:dyDescent="0.25">
      <c r="B13" s="53"/>
      <c r="C13" s="54"/>
      <c r="F13" s="55"/>
      <c r="G13" s="55"/>
      <c r="H13" s="84"/>
      <c r="I13" s="84"/>
      <c r="J13" s="84"/>
      <c r="K13" s="84"/>
      <c r="N13" s="41" t="s">
        <v>6</v>
      </c>
      <c r="O13" s="42" t="s">
        <v>385</v>
      </c>
      <c r="P13" s="132"/>
      <c r="Q13" s="132"/>
      <c r="R13" s="132"/>
      <c r="S13" s="132"/>
    </row>
    <row r="14" spans="2:23" ht="12" customHeight="1" x14ac:dyDescent="0.25">
      <c r="B14" s="53"/>
      <c r="C14" s="54"/>
      <c r="D14" s="55"/>
      <c r="E14" s="55"/>
      <c r="F14" s="55"/>
      <c r="G14" s="55"/>
      <c r="H14" s="84"/>
      <c r="I14" s="84"/>
      <c r="J14" s="84"/>
      <c r="K14" s="84"/>
      <c r="L14" s="7"/>
    </row>
    <row r="15" spans="2:23" x14ac:dyDescent="0.25">
      <c r="B15" s="6"/>
      <c r="C15" s="6"/>
      <c r="D15" s="316" t="s">
        <v>406</v>
      </c>
      <c r="E15" s="316"/>
      <c r="F15" s="316"/>
      <c r="G15" s="316"/>
      <c r="H15" s="316" t="s">
        <v>386</v>
      </c>
      <c r="I15" s="316"/>
      <c r="J15" s="316"/>
      <c r="K15" s="316"/>
      <c r="L15" s="316" t="s">
        <v>569</v>
      </c>
      <c r="M15" s="316"/>
      <c r="N15" s="316"/>
      <c r="O15" s="316"/>
      <c r="P15" s="316" t="s">
        <v>570</v>
      </c>
      <c r="Q15" s="316"/>
      <c r="R15" s="316"/>
      <c r="S15" s="316"/>
      <c r="T15" s="316" t="s">
        <v>387</v>
      </c>
      <c r="U15" s="316"/>
      <c r="V15" s="316"/>
      <c r="W15" s="316"/>
    </row>
    <row r="16" spans="2:23" ht="73.5" customHeight="1" thickBot="1" x14ac:dyDescent="0.3">
      <c r="B16" s="49" t="s">
        <v>17</v>
      </c>
      <c r="D16" s="56" t="s">
        <v>394</v>
      </c>
      <c r="E16" s="56" t="s">
        <v>395</v>
      </c>
      <c r="F16" s="44" t="s">
        <v>396</v>
      </c>
      <c r="G16" s="45" t="s">
        <v>397</v>
      </c>
      <c r="H16" s="83" t="s">
        <v>394</v>
      </c>
      <c r="I16" s="83" t="s">
        <v>395</v>
      </c>
      <c r="J16" s="44" t="s">
        <v>396</v>
      </c>
      <c r="K16" s="45" t="s">
        <v>397</v>
      </c>
      <c r="L16" s="43" t="s">
        <v>394</v>
      </c>
      <c r="M16" s="43" t="s">
        <v>395</v>
      </c>
      <c r="N16" s="44" t="s">
        <v>396</v>
      </c>
      <c r="O16" s="45" t="s">
        <v>397</v>
      </c>
      <c r="P16" s="130" t="s">
        <v>394</v>
      </c>
      <c r="Q16" s="130" t="s">
        <v>395</v>
      </c>
      <c r="R16" s="44" t="s">
        <v>396</v>
      </c>
      <c r="S16" s="45" t="s">
        <v>397</v>
      </c>
      <c r="T16" s="43" t="s">
        <v>394</v>
      </c>
      <c r="U16" s="43" t="s">
        <v>395</v>
      </c>
      <c r="V16" s="44" t="s">
        <v>396</v>
      </c>
      <c r="W16" s="45" t="s">
        <v>397</v>
      </c>
    </row>
    <row r="17" spans="1:65" ht="31.5" hidden="1" customHeight="1" thickBot="1" x14ac:dyDescent="0.3">
      <c r="B17" s="46"/>
      <c r="C17" s="47"/>
      <c r="D17" s="59"/>
      <c r="E17" s="59"/>
      <c r="F17" s="59"/>
      <c r="G17" s="59"/>
      <c r="H17" s="59"/>
      <c r="I17" s="59"/>
      <c r="J17" s="59"/>
      <c r="K17" s="59"/>
      <c r="L17" s="46" t="s">
        <v>388</v>
      </c>
      <c r="M17" s="46" t="s">
        <v>398</v>
      </c>
      <c r="N17" s="46" t="s">
        <v>8</v>
      </c>
      <c r="O17" s="46" t="s">
        <v>9</v>
      </c>
      <c r="P17" s="46" t="s">
        <v>388</v>
      </c>
      <c r="Q17" s="46" t="s">
        <v>398</v>
      </c>
      <c r="R17" s="46" t="s">
        <v>8</v>
      </c>
      <c r="S17" s="46" t="s">
        <v>9</v>
      </c>
      <c r="T17" s="46" t="s">
        <v>388</v>
      </c>
      <c r="U17" s="46" t="s">
        <v>398</v>
      </c>
      <c r="V17" s="46" t="s">
        <v>8</v>
      </c>
      <c r="W17" s="46" t="s">
        <v>9</v>
      </c>
    </row>
    <row r="18" spans="1:65" s="78" customFormat="1" ht="42.75" customHeight="1" x14ac:dyDescent="0.25">
      <c r="A18" s="74"/>
      <c r="B18" s="75" t="s">
        <v>19</v>
      </c>
      <c r="C18" s="76" t="str">
        <f t="shared" ref="C18:C23" si="0">+MID(B18,1,10)</f>
        <v>1. Garanti</v>
      </c>
      <c r="D18" s="77">
        <v>1.0000100000000001</v>
      </c>
      <c r="E18" s="77">
        <v>1.0000100000000001</v>
      </c>
      <c r="F18" s="77">
        <v>1.0000100000000001</v>
      </c>
      <c r="G18" s="77" t="s">
        <v>131</v>
      </c>
      <c r="H18" s="77">
        <v>1.0000100000000001</v>
      </c>
      <c r="I18" s="77">
        <v>1.0000100000000001</v>
      </c>
      <c r="J18" s="77">
        <v>1.0000100000000001</v>
      </c>
      <c r="K18" s="77">
        <v>1.0000100000000001</v>
      </c>
      <c r="L18" s="77">
        <v>0.66677222222222221</v>
      </c>
      <c r="M18" s="77">
        <v>0.75007916666666663</v>
      </c>
      <c r="N18" s="77">
        <v>0.33365</v>
      </c>
      <c r="O18" s="77">
        <v>0.88888888888888884</v>
      </c>
      <c r="P18" s="77">
        <v>0.94444777777777789</v>
      </c>
      <c r="Q18" s="77">
        <v>1.0000100000000001</v>
      </c>
      <c r="R18" s="77">
        <v>1.0000100000000001</v>
      </c>
      <c r="S18" s="77">
        <v>0.94444444444444453</v>
      </c>
      <c r="T18" s="77">
        <v>0.80000333333333329</v>
      </c>
      <c r="U18" s="77">
        <v>1.0000100000000001</v>
      </c>
      <c r="V18" s="77">
        <v>1.0000100000000001</v>
      </c>
      <c r="W18" s="77">
        <v>0.79999999999999993</v>
      </c>
    </row>
    <row r="19" spans="1:65" s="78" customFormat="1" ht="69.75" customHeight="1" x14ac:dyDescent="0.25">
      <c r="A19" s="74"/>
      <c r="B19" s="75" t="s">
        <v>20</v>
      </c>
      <c r="C19" s="79" t="str">
        <f t="shared" si="0"/>
        <v>2. Propici</v>
      </c>
      <c r="D19" s="77">
        <v>0.84499999999999997</v>
      </c>
      <c r="E19" s="77">
        <v>0.79215456674473061</v>
      </c>
      <c r="F19" s="77">
        <v>0.51502732240437155</v>
      </c>
      <c r="G19" s="77">
        <v>1</v>
      </c>
      <c r="H19" s="77">
        <v>0.99800166666666656</v>
      </c>
      <c r="I19" s="77">
        <v>0.99880199999999986</v>
      </c>
      <c r="J19" s="77">
        <v>0.99760400000000016</v>
      </c>
      <c r="K19" s="77">
        <v>1</v>
      </c>
      <c r="L19" s="77">
        <v>0.62547619047619041</v>
      </c>
      <c r="M19" s="77">
        <v>0.52425971877584776</v>
      </c>
      <c r="N19" s="77">
        <v>0.18791090629800308</v>
      </c>
      <c r="O19" s="77">
        <v>0.91666666666666663</v>
      </c>
      <c r="P19" s="77">
        <v>0.62098039215686274</v>
      </c>
      <c r="Q19" s="77">
        <v>1.0000100000000001</v>
      </c>
      <c r="R19" s="77">
        <v>0.30966205837173583</v>
      </c>
      <c r="S19" s="77">
        <v>0.91666666666666663</v>
      </c>
      <c r="T19" s="77">
        <v>0.7260994397759104</v>
      </c>
      <c r="U19" s="77">
        <v>1.0000100000000001</v>
      </c>
      <c r="V19" s="77">
        <v>0.47738054009482583</v>
      </c>
      <c r="W19" s="77">
        <v>0.93333333333333324</v>
      </c>
      <c r="X19" s="80"/>
    </row>
    <row r="20" spans="1:65" s="78" customFormat="1" ht="90" customHeight="1" x14ac:dyDescent="0.25">
      <c r="A20" s="74"/>
      <c r="B20" s="75" t="s">
        <v>21</v>
      </c>
      <c r="C20" s="79" t="str">
        <f t="shared" si="0"/>
        <v>3. Fortale</v>
      </c>
      <c r="D20" s="77">
        <v>1</v>
      </c>
      <c r="E20" s="77">
        <v>1</v>
      </c>
      <c r="F20" s="77">
        <v>1</v>
      </c>
      <c r="G20" s="77" t="s">
        <v>131</v>
      </c>
      <c r="H20" s="77">
        <v>0.93571928571428575</v>
      </c>
      <c r="I20" s="77">
        <v>0.99077065934065922</v>
      </c>
      <c r="J20" s="77">
        <v>0.98384865384615383</v>
      </c>
      <c r="K20" s="77">
        <v>1</v>
      </c>
      <c r="L20" s="77">
        <v>0.2577562949640288</v>
      </c>
      <c r="M20" s="77">
        <v>0.58694862951533844</v>
      </c>
      <c r="N20" s="77">
        <v>0.27716010165184246</v>
      </c>
      <c r="O20" s="77">
        <v>1</v>
      </c>
      <c r="P20" s="77">
        <v>0.75795808064659387</v>
      </c>
      <c r="Q20" s="77">
        <v>1.0000100000000001</v>
      </c>
      <c r="R20" s="77">
        <v>0.46100698856416772</v>
      </c>
      <c r="S20" s="77">
        <v>1</v>
      </c>
      <c r="T20" s="77">
        <v>0.98560158758910843</v>
      </c>
      <c r="U20" s="77">
        <v>1.0000100000000001</v>
      </c>
      <c r="V20" s="77">
        <v>0.74503524208056315</v>
      </c>
      <c r="W20" s="77">
        <v>1</v>
      </c>
      <c r="X20" s="80"/>
    </row>
    <row r="21" spans="1:65" s="78" customFormat="1" ht="86.25" customHeight="1" x14ac:dyDescent="0.25">
      <c r="A21" s="74"/>
      <c r="B21" s="75" t="s">
        <v>22</v>
      </c>
      <c r="C21" s="79" t="str">
        <f t="shared" si="0"/>
        <v>4. Promove</v>
      </c>
      <c r="D21" s="87" t="s">
        <v>464</v>
      </c>
      <c r="E21" s="77">
        <v>0.75000250000000002</v>
      </c>
      <c r="F21" s="77">
        <v>1.0000100000000001</v>
      </c>
      <c r="G21" s="77">
        <v>0.66666666666666663</v>
      </c>
      <c r="H21" s="77">
        <v>0.65800600000000009</v>
      </c>
      <c r="I21" s="77">
        <v>0.8644466666666667</v>
      </c>
      <c r="J21" s="77">
        <v>0.92666999999999999</v>
      </c>
      <c r="K21" s="77">
        <v>0.83333499999999994</v>
      </c>
      <c r="L21" s="77">
        <v>0.65267142857142857</v>
      </c>
      <c r="M21" s="77">
        <v>0.37529464285714287</v>
      </c>
      <c r="N21" s="77">
        <v>0.50078571428571428</v>
      </c>
      <c r="O21" s="77">
        <v>0.3</v>
      </c>
      <c r="P21" s="77">
        <v>0.64685115611814348</v>
      </c>
      <c r="Q21" s="77">
        <v>1.0000100000000001</v>
      </c>
      <c r="R21" s="77">
        <v>0.90050333333333332</v>
      </c>
      <c r="S21" s="77">
        <v>0.5</v>
      </c>
      <c r="T21" s="77">
        <v>0.68476782278481019</v>
      </c>
      <c r="U21" s="77">
        <v>1.0000100000000001</v>
      </c>
      <c r="V21" s="77">
        <v>0.90050333333333332</v>
      </c>
      <c r="W21" s="77">
        <v>0.63889055555555563</v>
      </c>
      <c r="X21" s="80"/>
    </row>
    <row r="22" spans="1:65" s="78" customFormat="1" ht="107.25" customHeight="1" x14ac:dyDescent="0.25">
      <c r="A22" s="74"/>
      <c r="B22" s="75" t="s">
        <v>23</v>
      </c>
      <c r="C22" s="79" t="str">
        <f t="shared" si="0"/>
        <v>5. Fortale</v>
      </c>
      <c r="D22" s="77">
        <v>0.75196078431372548</v>
      </c>
      <c r="E22" s="77">
        <v>0.48</v>
      </c>
      <c r="F22" s="77">
        <v>0.6</v>
      </c>
      <c r="G22" s="77">
        <v>0</v>
      </c>
      <c r="H22" s="77">
        <v>0.9885464531951097</v>
      </c>
      <c r="I22" s="77">
        <v>0.97467438461847633</v>
      </c>
      <c r="J22" s="77">
        <v>0.96086041259219068</v>
      </c>
      <c r="K22" s="77">
        <v>1</v>
      </c>
      <c r="L22" s="77">
        <v>0.166118286074628</v>
      </c>
      <c r="M22" s="77">
        <v>0.3875511336032389</v>
      </c>
      <c r="N22" s="77">
        <v>0.50945596153846162</v>
      </c>
      <c r="O22" s="77">
        <v>0.17857142857142858</v>
      </c>
      <c r="P22" s="77">
        <v>0.4054965054945055</v>
      </c>
      <c r="Q22" s="77">
        <v>1.0000100000000001</v>
      </c>
      <c r="R22" s="77">
        <v>0.46875166666666668</v>
      </c>
      <c r="S22" s="77">
        <v>0.8571428571428571</v>
      </c>
      <c r="T22" s="77">
        <v>0.48204738176930162</v>
      </c>
      <c r="U22" s="77">
        <v>1.0000100000000001</v>
      </c>
      <c r="V22" s="77">
        <v>0.54909269273461847</v>
      </c>
      <c r="W22" s="77">
        <v>0.80952380952380942</v>
      </c>
      <c r="X22" s="80"/>
    </row>
    <row r="23" spans="1:65" s="78" customFormat="1" ht="56.25" customHeight="1" thickBot="1" x14ac:dyDescent="0.3">
      <c r="A23" s="74"/>
      <c r="B23" s="75" t="s">
        <v>24</v>
      </c>
      <c r="C23" s="81" t="str">
        <f t="shared" si="0"/>
        <v>6. Fortale</v>
      </c>
      <c r="D23" s="77">
        <v>0.99360865290068823</v>
      </c>
      <c r="E23" s="77">
        <v>1.0000100000000001</v>
      </c>
      <c r="F23" s="77">
        <v>1.0000100000000001</v>
      </c>
      <c r="G23" s="77">
        <v>1</v>
      </c>
      <c r="H23" s="77">
        <v>0.99926720588235296</v>
      </c>
      <c r="I23" s="77">
        <v>0.98333458333333335</v>
      </c>
      <c r="J23" s="77">
        <v>1.0000100000000001</v>
      </c>
      <c r="K23" s="77">
        <v>0.97333333333333338</v>
      </c>
      <c r="L23" s="77">
        <v>0.30634444444444447</v>
      </c>
      <c r="M23" s="77">
        <v>0.61951851851851858</v>
      </c>
      <c r="N23" s="77">
        <v>0.25</v>
      </c>
      <c r="O23" s="77">
        <v>0.91513333333333335</v>
      </c>
      <c r="P23" s="77">
        <v>0.69594247402078346</v>
      </c>
      <c r="Q23" s="77">
        <v>0.8241558441558442</v>
      </c>
      <c r="R23" s="77">
        <v>0.25</v>
      </c>
      <c r="S23" s="77">
        <v>0.94223999999999997</v>
      </c>
      <c r="T23" s="77">
        <v>0.62160030395136778</v>
      </c>
      <c r="U23" s="77">
        <v>1.0000100000000001</v>
      </c>
      <c r="V23" s="77">
        <v>0.42184231869210742</v>
      </c>
      <c r="W23" s="77">
        <v>0.84223999999999999</v>
      </c>
      <c r="X23" s="80"/>
      <c r="BH23" s="82"/>
      <c r="BI23" s="82"/>
      <c r="BJ23" s="82"/>
      <c r="BK23" s="82"/>
      <c r="BL23" s="82"/>
      <c r="BM23" s="82"/>
    </row>
    <row r="24" spans="1:65" ht="16.5" thickBot="1" x14ac:dyDescent="0.3">
      <c r="B24" s="50" t="s">
        <v>18</v>
      </c>
      <c r="C24" s="48"/>
      <c r="D24" s="72">
        <v>0.91811588744288275</v>
      </c>
      <c r="E24" s="73">
        <v>0.83702951112412161</v>
      </c>
      <c r="F24" s="73">
        <v>0.85250955373406201</v>
      </c>
      <c r="G24" s="73">
        <v>0.66666666666666663</v>
      </c>
      <c r="H24" s="73">
        <v>0.92992510190973576</v>
      </c>
      <c r="I24" s="73">
        <v>0.96867304899318929</v>
      </c>
      <c r="J24" s="73">
        <v>0.97816717773972428</v>
      </c>
      <c r="K24" s="73">
        <v>0.96777972222222219</v>
      </c>
      <c r="L24" s="73">
        <v>0.44585647779215704</v>
      </c>
      <c r="M24" s="73">
        <v>0.54060863498945888</v>
      </c>
      <c r="N24" s="73">
        <v>0.34316044729567025</v>
      </c>
      <c r="O24" s="73">
        <v>0.69987671957671937</v>
      </c>
      <c r="P24" s="73">
        <v>0.67861273103577791</v>
      </c>
      <c r="Q24" s="73">
        <v>0.97070097402597399</v>
      </c>
      <c r="R24" s="73">
        <v>0.5649890078226506</v>
      </c>
      <c r="S24" s="73">
        <v>0.86008232804232809</v>
      </c>
      <c r="T24" s="73">
        <v>0.71668664486730516</v>
      </c>
      <c r="U24" s="73">
        <v>1.0000099999999998</v>
      </c>
      <c r="V24" s="73">
        <v>0.68231068782257476</v>
      </c>
      <c r="W24" s="73">
        <v>0.83733128306878324</v>
      </c>
      <c r="BH24"/>
      <c r="BI24"/>
      <c r="BJ24"/>
      <c r="BK24"/>
      <c r="BL24"/>
      <c r="BM24"/>
    </row>
    <row r="25" spans="1:65" x14ac:dyDescent="0.25">
      <c r="A25" s="6"/>
      <c r="B25" s="6"/>
      <c r="C25" s="3"/>
      <c r="D25" s="3"/>
      <c r="E25" s="3"/>
      <c r="F25" s="3"/>
      <c r="G25" s="3"/>
      <c r="H25" s="3"/>
      <c r="I25" s="3"/>
      <c r="J25" s="3"/>
      <c r="K25" s="3"/>
      <c r="L25" s="4"/>
      <c r="N25" s="1"/>
      <c r="O25" s="5"/>
      <c r="P25" s="5"/>
      <c r="Q25" s="5"/>
      <c r="R25" s="5"/>
      <c r="S25" s="5"/>
      <c r="BH25"/>
      <c r="BI25"/>
      <c r="BJ25"/>
      <c r="BK25"/>
      <c r="BL25"/>
      <c r="BM25"/>
    </row>
    <row r="26" spans="1:65" x14ac:dyDescent="0.25">
      <c r="B26" s="6"/>
      <c r="C26" s="6"/>
      <c r="D26" s="6"/>
      <c r="E26" s="6"/>
      <c r="F26" s="6"/>
      <c r="G26" s="6"/>
      <c r="H26" s="6"/>
      <c r="I26" s="6"/>
      <c r="J26" s="6"/>
      <c r="K26" s="6"/>
    </row>
    <row r="27" spans="1:65" x14ac:dyDescent="0.25">
      <c r="D27" s="316" t="s">
        <v>406</v>
      </c>
      <c r="E27" s="316"/>
      <c r="F27" s="316"/>
      <c r="G27" s="316"/>
      <c r="H27" s="316" t="s">
        <v>386</v>
      </c>
      <c r="I27" s="316"/>
      <c r="J27" s="316"/>
      <c r="K27" s="316"/>
      <c r="L27" s="316" t="s">
        <v>569</v>
      </c>
      <c r="M27" s="316"/>
      <c r="N27" s="316"/>
      <c r="O27" s="316"/>
      <c r="P27" s="316" t="s">
        <v>570</v>
      </c>
      <c r="Q27" s="316"/>
      <c r="R27" s="316"/>
      <c r="S27" s="316"/>
      <c r="T27" s="316" t="s">
        <v>387</v>
      </c>
      <c r="U27" s="316"/>
      <c r="V27" s="316"/>
      <c r="W27" s="316"/>
    </row>
    <row r="28" spans="1:65" ht="75" customHeight="1" thickBot="1" x14ac:dyDescent="0.3">
      <c r="B28" s="49" t="s">
        <v>7</v>
      </c>
      <c r="D28" s="56" t="s">
        <v>394</v>
      </c>
      <c r="E28" s="56" t="s">
        <v>395</v>
      </c>
      <c r="F28" s="44" t="s">
        <v>396</v>
      </c>
      <c r="G28" s="45" t="s">
        <v>397</v>
      </c>
      <c r="H28" s="83" t="s">
        <v>394</v>
      </c>
      <c r="I28" s="83" t="s">
        <v>395</v>
      </c>
      <c r="J28" s="44" t="s">
        <v>396</v>
      </c>
      <c r="K28" s="45" t="s">
        <v>397</v>
      </c>
      <c r="L28" s="43" t="s">
        <v>394</v>
      </c>
      <c r="M28" s="43" t="s">
        <v>395</v>
      </c>
      <c r="N28" s="44" t="s">
        <v>396</v>
      </c>
      <c r="O28" s="45" t="s">
        <v>397</v>
      </c>
      <c r="P28" s="130" t="s">
        <v>394</v>
      </c>
      <c r="Q28" s="130" t="s">
        <v>395</v>
      </c>
      <c r="R28" s="44" t="s">
        <v>396</v>
      </c>
      <c r="S28" s="45" t="s">
        <v>397</v>
      </c>
      <c r="T28" s="43" t="s">
        <v>394</v>
      </c>
      <c r="U28" s="43" t="s">
        <v>395</v>
      </c>
      <c r="V28" s="44" t="s">
        <v>396</v>
      </c>
      <c r="W28" s="45" t="s">
        <v>397</v>
      </c>
    </row>
    <row r="29" spans="1:65" ht="15.75" hidden="1" thickBot="1" x14ac:dyDescent="0.3">
      <c r="B29" s="46"/>
      <c r="C29" s="47"/>
      <c r="D29" s="59"/>
      <c r="E29" s="59"/>
      <c r="F29" s="59"/>
      <c r="G29" s="59"/>
      <c r="H29" s="59"/>
      <c r="I29" s="59"/>
      <c r="J29" s="59"/>
      <c r="K29" s="59"/>
      <c r="L29" s="46" t="s">
        <v>388</v>
      </c>
      <c r="M29" s="46" t="s">
        <v>398</v>
      </c>
      <c r="N29" s="46" t="s">
        <v>8</v>
      </c>
      <c r="O29" s="46" t="s">
        <v>9</v>
      </c>
      <c r="P29" s="46"/>
      <c r="Q29" s="46"/>
      <c r="R29" s="46"/>
      <c r="S29" s="46"/>
      <c r="T29" s="46" t="s">
        <v>388</v>
      </c>
      <c r="U29" s="46" t="s">
        <v>398</v>
      </c>
      <c r="V29" s="46" t="s">
        <v>8</v>
      </c>
      <c r="W29" s="46" t="s">
        <v>9</v>
      </c>
    </row>
    <row r="30" spans="1:65" s="78" customFormat="1" ht="27" customHeight="1" x14ac:dyDescent="0.25">
      <c r="A30" s="74"/>
      <c r="B30" s="75" t="s">
        <v>11</v>
      </c>
      <c r="C30" s="76"/>
      <c r="D30" s="77">
        <v>0</v>
      </c>
      <c r="E30" s="77">
        <v>0</v>
      </c>
      <c r="F30" s="77" t="s">
        <v>131</v>
      </c>
      <c r="G30" s="77" t="s">
        <v>131</v>
      </c>
      <c r="H30" s="85">
        <v>1</v>
      </c>
      <c r="I30" s="85">
        <v>0.96333333333333337</v>
      </c>
      <c r="J30" s="85">
        <v>0.95600000000000007</v>
      </c>
      <c r="K30" s="85">
        <v>1</v>
      </c>
      <c r="L30" s="77">
        <v>0</v>
      </c>
      <c r="M30" s="77">
        <v>0.140625</v>
      </c>
      <c r="N30" s="77">
        <v>0.1875</v>
      </c>
      <c r="O30" s="77">
        <v>0</v>
      </c>
      <c r="P30" s="77">
        <v>0.33333333333333331</v>
      </c>
      <c r="Q30" s="77">
        <v>1.0000100000000001</v>
      </c>
      <c r="R30" s="77">
        <v>0.27083333333333331</v>
      </c>
      <c r="S30" s="77">
        <v>0.5</v>
      </c>
      <c r="T30" s="77">
        <v>0.25555555555555554</v>
      </c>
      <c r="U30" s="77">
        <v>1.0000100000000001</v>
      </c>
      <c r="V30" s="77">
        <v>0.37619281045751635</v>
      </c>
      <c r="W30" s="77">
        <v>0.33333333333333331</v>
      </c>
    </row>
    <row r="31" spans="1:65" s="78" customFormat="1" ht="27" customHeight="1" x14ac:dyDescent="0.25">
      <c r="A31" s="74"/>
      <c r="B31" s="75" t="s">
        <v>12</v>
      </c>
      <c r="C31" s="79"/>
      <c r="D31" s="77">
        <v>0.69</v>
      </c>
      <c r="E31" s="77">
        <v>0.70901639344262291</v>
      </c>
      <c r="F31" s="77">
        <v>0.27254098360655737</v>
      </c>
      <c r="G31" s="77">
        <v>1</v>
      </c>
      <c r="H31" s="85">
        <v>1.0000100000000001</v>
      </c>
      <c r="I31" s="85">
        <v>1.0000100000000001</v>
      </c>
      <c r="J31" s="85">
        <v>1.0000100000000001</v>
      </c>
      <c r="K31" s="85">
        <v>1</v>
      </c>
      <c r="L31" s="77">
        <v>0.50095238095238093</v>
      </c>
      <c r="M31" s="77">
        <v>0.50933947772657451</v>
      </c>
      <c r="N31" s="77">
        <v>2.1792114695340498E-2</v>
      </c>
      <c r="O31" s="77">
        <v>0.875</v>
      </c>
      <c r="P31" s="77">
        <v>0.50666666666666671</v>
      </c>
      <c r="Q31" s="77">
        <v>1.0000100000000001</v>
      </c>
      <c r="R31" s="77">
        <v>0.1392114695340502</v>
      </c>
      <c r="S31" s="77">
        <v>0.875</v>
      </c>
      <c r="T31" s="77">
        <v>0.76690476190476187</v>
      </c>
      <c r="U31" s="77">
        <v>1.0000100000000001</v>
      </c>
      <c r="V31" s="77">
        <v>0.64855459355459355</v>
      </c>
      <c r="W31" s="77">
        <v>0.9</v>
      </c>
      <c r="X31" s="80"/>
    </row>
    <row r="32" spans="1:65" s="78" customFormat="1" ht="27" customHeight="1" x14ac:dyDescent="0.25">
      <c r="A32" s="74"/>
      <c r="B32" s="75" t="s">
        <v>13</v>
      </c>
      <c r="C32" s="79"/>
      <c r="D32" s="77">
        <v>1.0000100000000001</v>
      </c>
      <c r="E32" s="77">
        <v>1.0000100000000001</v>
      </c>
      <c r="F32" s="77">
        <v>1.0000100000000001</v>
      </c>
      <c r="G32" s="77" t="s">
        <v>131</v>
      </c>
      <c r="H32" s="85">
        <v>1.0000100000000001</v>
      </c>
      <c r="I32" s="85">
        <v>1.0000100000000001</v>
      </c>
      <c r="J32" s="85">
        <v>1.0000100000000001</v>
      </c>
      <c r="K32" s="85" t="s">
        <v>131</v>
      </c>
      <c r="L32" s="77">
        <v>0.42425357142857145</v>
      </c>
      <c r="M32" s="77">
        <v>0.42425357142857145</v>
      </c>
      <c r="N32" s="77">
        <v>0.42425357142857145</v>
      </c>
      <c r="O32" s="77" t="s">
        <v>131</v>
      </c>
      <c r="P32" s="77">
        <v>0.76031777777777787</v>
      </c>
      <c r="Q32" s="77">
        <v>1.0000100000000001</v>
      </c>
      <c r="R32" s="77">
        <v>1.0000100000000001</v>
      </c>
      <c r="S32" s="77" t="s">
        <v>131</v>
      </c>
      <c r="T32" s="77">
        <v>0.84680666666666671</v>
      </c>
      <c r="U32" s="77">
        <v>1.0000100000000001</v>
      </c>
      <c r="V32" s="77">
        <v>0.66667333333333334</v>
      </c>
      <c r="W32" s="77" t="s">
        <v>131</v>
      </c>
      <c r="X32" s="80"/>
    </row>
    <row r="33" spans="1:24" s="78" customFormat="1" ht="27" customHeight="1" x14ac:dyDescent="0.25">
      <c r="A33" s="74"/>
      <c r="B33" s="75" t="s">
        <v>14</v>
      </c>
      <c r="C33" s="81"/>
      <c r="D33" s="77">
        <v>0</v>
      </c>
      <c r="E33" s="77">
        <v>0</v>
      </c>
      <c r="F33" s="77" t="s">
        <v>131</v>
      </c>
      <c r="G33" s="77" t="s">
        <v>131</v>
      </c>
      <c r="H33" s="85">
        <v>1.0000100000000001</v>
      </c>
      <c r="I33" s="85">
        <v>1.0000100000000001</v>
      </c>
      <c r="J33" s="85" t="s">
        <v>131</v>
      </c>
      <c r="K33" s="85">
        <v>1.0000100000000001</v>
      </c>
      <c r="L33" s="77">
        <v>0.58333333333333326</v>
      </c>
      <c r="M33" s="77">
        <v>0.66666666666666663</v>
      </c>
      <c r="N33" s="77">
        <v>0</v>
      </c>
      <c r="O33" s="77">
        <v>0.83333333333333326</v>
      </c>
      <c r="P33" s="77">
        <v>0.70833333333333337</v>
      </c>
      <c r="Q33" s="77">
        <v>1.0000100000000001</v>
      </c>
      <c r="R33" s="77">
        <v>0</v>
      </c>
      <c r="S33" s="77">
        <v>0.95833333333333337</v>
      </c>
      <c r="T33" s="77">
        <v>0.47499999999999998</v>
      </c>
      <c r="U33" s="77">
        <v>1.0000100000000001</v>
      </c>
      <c r="V33" s="77">
        <v>0</v>
      </c>
      <c r="W33" s="77">
        <v>0.72499999999999998</v>
      </c>
      <c r="X33" s="80"/>
    </row>
    <row r="34" spans="1:24" s="78" customFormat="1" ht="27" customHeight="1" x14ac:dyDescent="0.25">
      <c r="A34" s="74"/>
      <c r="B34" s="75" t="s">
        <v>10</v>
      </c>
      <c r="C34" s="81"/>
      <c r="D34" s="77">
        <v>0.93799019607843137</v>
      </c>
      <c r="E34" s="77">
        <v>0.775000625</v>
      </c>
      <c r="F34" s="77">
        <v>0.840001</v>
      </c>
      <c r="G34" s="77">
        <v>0.66666666666666663</v>
      </c>
      <c r="H34" s="85">
        <v>0.97489456991020684</v>
      </c>
      <c r="I34" s="85">
        <v>0.97188818406781119</v>
      </c>
      <c r="J34" s="85">
        <v>0.98085794359324729</v>
      </c>
      <c r="K34" s="85">
        <v>0.96153846153846156</v>
      </c>
      <c r="L34" s="77">
        <v>0.45513471751910456</v>
      </c>
      <c r="M34" s="77">
        <v>0.51926167564738424</v>
      </c>
      <c r="N34" s="77">
        <v>0.49100658500405342</v>
      </c>
      <c r="O34" s="77">
        <v>0.5535714285714286</v>
      </c>
      <c r="P34" s="77">
        <v>0.66572491223534858</v>
      </c>
      <c r="Q34" s="77">
        <v>1.0000100000000001</v>
      </c>
      <c r="R34" s="77">
        <v>0.50553223260333358</v>
      </c>
      <c r="S34" s="77">
        <v>0.8214285714285714</v>
      </c>
      <c r="T34" s="77">
        <v>0.78414664055744265</v>
      </c>
      <c r="U34" s="77">
        <v>1.0000100000000001</v>
      </c>
      <c r="V34" s="77">
        <v>0.66578808736809902</v>
      </c>
      <c r="W34" s="77">
        <v>0.84523809523809523</v>
      </c>
      <c r="X34" s="80"/>
    </row>
    <row r="35" spans="1:24" s="78" customFormat="1" ht="27" customHeight="1" x14ac:dyDescent="0.25">
      <c r="A35" s="74"/>
      <c r="B35" s="75" t="s">
        <v>15</v>
      </c>
      <c r="C35" s="81"/>
      <c r="D35" s="87" t="s">
        <v>465</v>
      </c>
      <c r="E35" s="77">
        <v>0</v>
      </c>
      <c r="F35" s="77" t="s">
        <v>131</v>
      </c>
      <c r="G35" s="77" t="s">
        <v>131</v>
      </c>
      <c r="H35" s="85">
        <v>0.57176720588235286</v>
      </c>
      <c r="I35" s="85">
        <v>0.89333458333333349</v>
      </c>
      <c r="J35" s="85">
        <v>0.89</v>
      </c>
      <c r="K35" s="85">
        <v>0.89444611111111116</v>
      </c>
      <c r="L35" s="77">
        <v>0.51397999999999988</v>
      </c>
      <c r="M35" s="77">
        <v>0.6994999999999999</v>
      </c>
      <c r="N35" s="77">
        <v>0.49375000000000002</v>
      </c>
      <c r="O35" s="77">
        <v>0.78179999999999994</v>
      </c>
      <c r="P35" s="77">
        <v>0.79579145827641695</v>
      </c>
      <c r="Q35" s="77">
        <v>1.0000100000000001</v>
      </c>
      <c r="R35" s="77">
        <v>0.85075000000000001</v>
      </c>
      <c r="S35" s="77">
        <v>0.94223999999999997</v>
      </c>
      <c r="T35" s="77">
        <v>0.73292624831672515</v>
      </c>
      <c r="U35" s="77">
        <v>0.875</v>
      </c>
      <c r="V35" s="77">
        <v>0.85075000000000001</v>
      </c>
      <c r="W35" s="77">
        <v>0.95186833333333321</v>
      </c>
      <c r="X35" s="80"/>
    </row>
    <row r="36" spans="1:24" ht="19.5" thickBot="1" x14ac:dyDescent="0.3">
      <c r="B36" s="52" t="s">
        <v>16</v>
      </c>
      <c r="C36" s="51"/>
      <c r="D36" s="73">
        <v>0.52560003921568632</v>
      </c>
      <c r="E36" s="73">
        <v>0.41400450307377051</v>
      </c>
      <c r="F36" s="73">
        <v>0.70418399453551916</v>
      </c>
      <c r="G36" s="73">
        <v>0.83333333333333326</v>
      </c>
      <c r="H36" s="86">
        <v>0.92444862929876004</v>
      </c>
      <c r="I36" s="86">
        <v>0.97143101678907973</v>
      </c>
      <c r="J36" s="86">
        <v>0.96537558871864948</v>
      </c>
      <c r="K36" s="86">
        <v>0.97119891452991458</v>
      </c>
      <c r="L36" s="73">
        <v>0.41294233387223162</v>
      </c>
      <c r="M36" s="73">
        <v>0.49327439857819938</v>
      </c>
      <c r="N36" s="73">
        <v>0.26971704518799422</v>
      </c>
      <c r="O36" s="73">
        <v>0.60874095238095238</v>
      </c>
      <c r="P36" s="73">
        <v>0.62836124693714612</v>
      </c>
      <c r="Q36" s="73">
        <v>1.0000099999999998</v>
      </c>
      <c r="R36" s="73">
        <v>0.46105617257845283</v>
      </c>
      <c r="S36" s="73">
        <v>0.81940038095238099</v>
      </c>
      <c r="T36" s="73">
        <v>0.64355664550019209</v>
      </c>
      <c r="U36" s="73">
        <v>0.97917500000000002</v>
      </c>
      <c r="V36" s="73">
        <v>0.53465980411892378</v>
      </c>
      <c r="W36" s="73">
        <v>0.75108795238095238</v>
      </c>
    </row>
  </sheetData>
  <sortState xmlns:xlrd2="http://schemas.microsoft.com/office/spreadsheetml/2017/richdata2" ref="B30:L35">
    <sortCondition ref="B30:B35"/>
  </sortState>
  <mergeCells count="19">
    <mergeCell ref="B2:W2"/>
    <mergeCell ref="B11:L11"/>
    <mergeCell ref="D15:G15"/>
    <mergeCell ref="D27:G27"/>
    <mergeCell ref="N8:O8"/>
    <mergeCell ref="B4:V4"/>
    <mergeCell ref="B5:V5"/>
    <mergeCell ref="B6:V6"/>
    <mergeCell ref="T27:W27"/>
    <mergeCell ref="L27:O27"/>
    <mergeCell ref="L15:O15"/>
    <mergeCell ref="T15:W15"/>
    <mergeCell ref="H15:K15"/>
    <mergeCell ref="H27:K27"/>
    <mergeCell ref="B8:L8"/>
    <mergeCell ref="P15:S15"/>
    <mergeCell ref="P27:S27"/>
    <mergeCell ref="B9:L9"/>
    <mergeCell ref="B10:L10"/>
  </mergeCells>
  <printOptions horizontalCentered="1" verticalCentered="1"/>
  <pageMargins left="0.70866141732283472" right="0.70866141732283472" top="0.74803149606299213" bottom="0.74803149606299213" header="0.31496062992125984" footer="0.31496062992125984"/>
  <pageSetup paperSize="9" scale="73" orientation="portrait" r:id="rId1"/>
  <rowBreaks count="1" manualBreakCount="1">
    <brk id="34" max="6" man="1"/>
  </rowBreaks>
  <colBreaks count="1" manualBreakCount="1">
    <brk id="13" max="42" man="1"/>
  </colBreaks>
  <drawing r:id="rId2"/>
  <extLst>
    <ext xmlns:x14="http://schemas.microsoft.com/office/spreadsheetml/2009/9/main" uri="{78C0D931-6437-407d-A8EE-F0AAD7539E65}">
      <x14:conditionalFormattings>
        <x14:conditionalFormatting xmlns:xm="http://schemas.microsoft.com/office/excel/2006/main">
          <x14:cfRule type="iconSet" priority="4" id="{A4909092-8C69-4507-B2CD-E2E3F004B1AD}">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D18:K24</xm:sqref>
        </x14:conditionalFormatting>
        <x14:conditionalFormatting xmlns:xm="http://schemas.microsoft.com/office/excel/2006/main">
          <x14:cfRule type="iconSet" priority="7" id="{89281841-2F9A-4D7D-8BE0-E2232CE4F9CA}">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L30:W36</xm:sqref>
        </x14:conditionalFormatting>
        <x14:conditionalFormatting xmlns:xm="http://schemas.microsoft.com/office/excel/2006/main">
          <x14:cfRule type="iconSet" priority="5" id="{647B3078-2B14-449D-95D9-DAF5A7573B72}">
            <x14:iconSet iconSet="4TrafficLights" custom="1">
              <x14:cfvo type="percent">
                <xm:f>0</xm:f>
              </x14:cfvo>
              <x14:cfvo type="percent" gte="0">
                <xm:f>25</xm:f>
              </x14:cfvo>
              <x14:cfvo type="percent">
                <xm:f>50</xm:f>
              </x14:cfvo>
              <x14:cfvo type="percent">
                <xm:f>75</xm:f>
              </x14:cfvo>
              <x14:cfIcon iconSet="3TrafficLights1" iconId="0"/>
              <x14:cfIcon iconSet="3Symbols" iconId="1"/>
              <x14:cfIcon iconSet="3TrafficLights1" iconId="1"/>
              <x14:cfIcon iconSet="3TrafficLights1" iconId="2"/>
            </x14:iconSet>
          </x14:cfRule>
          <xm:sqref>D30:G34 D36:G36 E35:G35</xm:sqref>
        </x14:conditionalFormatting>
        <x14:conditionalFormatting xmlns:xm="http://schemas.microsoft.com/office/excel/2006/main">
          <x14:cfRule type="iconSet" priority="3" id="{BAAE7F50-A5DA-4191-8DA1-4707602C1123}">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H30:K36</xm:sqref>
        </x14:conditionalFormatting>
        <x14:conditionalFormatting xmlns:xm="http://schemas.microsoft.com/office/excel/2006/main">
          <x14:cfRule type="iconSet" priority="2" id="{22CA1243-2F78-48F1-81FE-206CE8E23A52}">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L18:W24</xm:sqref>
        </x14:conditionalFormatting>
        <x14:conditionalFormatting xmlns:xm="http://schemas.microsoft.com/office/excel/2006/main">
          <x14:cfRule type="iconSet" priority="1" id="{35B296CF-AA62-49BE-8501-487C63C71B05}">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CW72"/>
  <sheetViews>
    <sheetView showGridLines="0" tabSelected="1" topLeftCell="BJ5" zoomScale="190" zoomScaleNormal="190" workbookViewId="0">
      <pane ySplit="3" topLeftCell="A22" activePane="bottomLeft" state="frozen"/>
      <selection activeCell="A5" sqref="A5"/>
      <selection pane="bottomLeft" activeCell="BN22" sqref="BN22"/>
    </sheetView>
  </sheetViews>
  <sheetFormatPr baseColWidth="10" defaultColWidth="10.85546875" defaultRowHeight="11.25" x14ac:dyDescent="0.2"/>
  <cols>
    <col min="1" max="1" width="17.85546875" style="64" customWidth="1"/>
    <col min="2" max="2" width="20.7109375" style="64" customWidth="1"/>
    <col min="3" max="5" width="20.42578125" style="64" hidden="1" customWidth="1"/>
    <col min="6" max="6" width="13.7109375" style="64" hidden="1" customWidth="1"/>
    <col min="7" max="7" width="20.140625" style="64" hidden="1" customWidth="1"/>
    <col min="8" max="8" width="42.42578125" style="238" customWidth="1"/>
    <col min="9" max="10" width="30.42578125" style="238" customWidth="1"/>
    <col min="11" max="11" width="23.42578125" style="238" customWidth="1"/>
    <col min="12" max="13" width="17.42578125" style="64" bestFit="1" customWidth="1"/>
    <col min="14" max="18" width="7.28515625" style="64" customWidth="1"/>
    <col min="19" max="19" width="10.42578125" style="64" customWidth="1"/>
    <col min="20" max="21" width="9.42578125" style="64" customWidth="1"/>
    <col min="22" max="23" width="9.42578125" style="64" hidden="1" customWidth="1"/>
    <col min="24" max="25" width="11.7109375" style="64" hidden="1" customWidth="1"/>
    <col min="26" max="27" width="9.42578125" style="64" customWidth="1"/>
    <col min="28" max="28" width="9.140625" style="64" customWidth="1"/>
    <col min="29" max="29" width="9.42578125" style="64" customWidth="1"/>
    <col min="30" max="30" width="5.28515625" style="64" hidden="1" customWidth="1"/>
    <col min="31" max="31" width="9.42578125" style="64" customWidth="1"/>
    <col min="32" max="32" width="13.140625" style="64" customWidth="1"/>
    <col min="33" max="33" width="44.42578125" style="238" customWidth="1"/>
    <col min="34" max="34" width="56.42578125" style="238" customWidth="1"/>
    <col min="35" max="35" width="50.140625" style="238" customWidth="1"/>
    <col min="36" max="36" width="50.140625" style="238" hidden="1" customWidth="1"/>
    <col min="37" max="37" width="42.7109375" style="238" hidden="1" customWidth="1"/>
    <col min="38" max="38" width="38.140625" style="239" customWidth="1"/>
    <col min="39" max="39" width="9.28515625" style="64" hidden="1" customWidth="1"/>
    <col min="40" max="40" width="9.42578125" style="64" hidden="1" customWidth="1"/>
    <col min="41" max="41" width="30.42578125" style="240" customWidth="1"/>
    <col min="42" max="42" width="29.42578125" style="241" customWidth="1"/>
    <col min="43" max="43" width="30.42578125" style="307" customWidth="1"/>
    <col min="44" max="44" width="10.42578125" style="243" customWidth="1"/>
    <col min="45" max="45" width="11" style="243" customWidth="1"/>
    <col min="46" max="46" width="7" style="243" customWidth="1"/>
    <col min="47" max="47" width="9.7109375" style="243" customWidth="1"/>
    <col min="48" max="48" width="12.140625" style="244" customWidth="1"/>
    <col min="49" max="49" width="12" style="244" customWidth="1"/>
    <col min="50" max="50" width="9.85546875" style="243" customWidth="1"/>
    <col min="51" max="51" width="9.7109375" style="243" customWidth="1"/>
    <col min="52" max="52" width="10.85546875" style="243" customWidth="1"/>
    <col min="53" max="53" width="11.42578125" style="243" customWidth="1"/>
    <col min="54" max="54" width="12.85546875" style="243" customWidth="1"/>
    <col min="55" max="55" width="8.42578125" style="243" customWidth="1"/>
    <col min="56" max="57" width="9.28515625" style="243" hidden="1" customWidth="1"/>
    <col min="58" max="59" width="10.42578125" style="243" hidden="1" customWidth="1"/>
    <col min="60" max="61" width="12" style="243" customWidth="1"/>
    <col min="62" max="62" width="12.28515625" style="243" bestFit="1" customWidth="1"/>
    <col min="63" max="63" width="12" style="243" customWidth="1"/>
    <col min="64" max="64" width="12" style="243" hidden="1" customWidth="1"/>
    <col min="65" max="65" width="12" style="243" customWidth="1"/>
    <col min="66" max="66" width="16.42578125" style="243" bestFit="1" customWidth="1"/>
    <col min="67" max="67" width="47.7109375" style="242" customWidth="1"/>
    <col min="68" max="68" width="66.28515625" style="242" customWidth="1"/>
    <col min="69" max="69" width="81.7109375" style="242" customWidth="1"/>
    <col min="70" max="70" width="81.7109375" style="242" hidden="1" customWidth="1"/>
    <col min="71" max="71" width="35.42578125" style="242" customWidth="1"/>
    <col min="72" max="72" width="17.85546875" style="243" customWidth="1"/>
    <col min="73" max="73" width="21.85546875" style="243" customWidth="1"/>
    <col min="74" max="74" width="18.42578125" style="243" customWidth="1"/>
    <col min="75" max="75" width="21.85546875" style="243" customWidth="1"/>
    <col min="76" max="76" width="14.28515625" style="243" customWidth="1"/>
    <col min="77" max="78" width="11.85546875" style="64" hidden="1" customWidth="1"/>
    <col min="79" max="80" width="47.85546875" style="60" customWidth="1"/>
    <col min="81" max="81" width="3.7109375" style="62" customWidth="1"/>
    <col min="82" max="82" width="13.42578125" style="65" hidden="1" customWidth="1"/>
    <col min="83" max="83" width="10.42578125" style="65" hidden="1" customWidth="1"/>
    <col min="84" max="84" width="11.42578125" style="60" hidden="1" customWidth="1"/>
    <col min="85" max="85" width="17.85546875" style="60" hidden="1" customWidth="1"/>
    <col min="86" max="86" width="10.140625" style="60" hidden="1" customWidth="1"/>
    <col min="87" max="87" width="10.7109375" style="60" hidden="1" customWidth="1"/>
    <col min="88" max="91" width="20.42578125" style="60" hidden="1" customWidth="1"/>
    <col min="92" max="92" width="3.42578125" style="62" hidden="1" customWidth="1"/>
    <col min="93" max="93" width="10.85546875" style="60" hidden="1" customWidth="1"/>
    <col min="94" max="94" width="10.42578125" style="60" hidden="1" customWidth="1"/>
    <col min="95" max="99" width="9.42578125" style="60" hidden="1" customWidth="1"/>
    <col min="100" max="100" width="0.140625" style="60" hidden="1" customWidth="1"/>
    <col min="101" max="101" width="10.85546875" style="60" hidden="1" customWidth="1"/>
    <col min="102" max="16384" width="10.85546875" style="60"/>
  </cols>
  <sheetData>
    <row r="1" spans="1:101" ht="8.1" hidden="1" customHeight="1" x14ac:dyDescent="0.2">
      <c r="AM1" s="65"/>
      <c r="AN1" s="65"/>
      <c r="AQ1" s="242"/>
      <c r="BY1" s="65"/>
      <c r="BZ1" s="65"/>
      <c r="CD1" s="60"/>
      <c r="CE1" s="60"/>
      <c r="CJ1" s="61"/>
      <c r="CK1" s="61"/>
      <c r="CL1" s="61"/>
      <c r="CM1" s="61"/>
      <c r="CO1" s="63"/>
      <c r="CP1" s="63"/>
      <c r="CQ1" s="63"/>
      <c r="CR1" s="63"/>
      <c r="CS1" s="63"/>
      <c r="CT1" s="63"/>
      <c r="CU1" s="63"/>
      <c r="CV1" s="63"/>
    </row>
    <row r="2" spans="1:101" s="66" customFormat="1" ht="21.95" hidden="1" customHeight="1" x14ac:dyDescent="0.35">
      <c r="A2" s="245" t="s">
        <v>145</v>
      </c>
      <c r="B2" s="246"/>
      <c r="C2" s="246"/>
      <c r="D2" s="246"/>
      <c r="E2" s="246"/>
      <c r="F2" s="246"/>
      <c r="G2" s="246"/>
      <c r="H2" s="245"/>
      <c r="I2" s="245"/>
      <c r="J2" s="245"/>
      <c r="K2" s="245"/>
      <c r="L2" s="246"/>
      <c r="M2" s="246"/>
      <c r="N2" s="246"/>
      <c r="O2" s="246"/>
      <c r="P2" s="246"/>
      <c r="Q2" s="246"/>
      <c r="R2" s="246"/>
      <c r="S2" s="246"/>
      <c r="T2" s="246"/>
      <c r="U2" s="246"/>
      <c r="V2" s="246"/>
      <c r="W2" s="246"/>
      <c r="X2" s="246"/>
      <c r="Y2" s="246"/>
      <c r="Z2" s="246"/>
      <c r="AA2" s="246"/>
      <c r="AB2" s="246"/>
      <c r="AC2" s="246"/>
      <c r="AD2" s="246"/>
      <c r="AE2" s="246"/>
      <c r="AF2" s="246"/>
      <c r="AG2" s="245"/>
      <c r="AH2" s="245"/>
      <c r="AI2" s="245"/>
      <c r="AJ2" s="245"/>
      <c r="AK2" s="245"/>
      <c r="AL2" s="247"/>
      <c r="AM2" s="246"/>
      <c r="AN2" s="246"/>
      <c r="AO2" s="248"/>
      <c r="AP2" s="248"/>
      <c r="AQ2" s="245"/>
      <c r="AR2" s="246"/>
      <c r="AS2" s="246"/>
      <c r="AT2" s="246"/>
      <c r="AU2" s="246"/>
      <c r="AV2" s="249"/>
      <c r="AW2" s="249"/>
      <c r="AX2" s="246"/>
      <c r="AY2" s="246"/>
      <c r="AZ2" s="246"/>
      <c r="BA2" s="246"/>
      <c r="BB2" s="246"/>
      <c r="BC2" s="246"/>
      <c r="BD2" s="246"/>
      <c r="BE2" s="246"/>
      <c r="BF2" s="246"/>
      <c r="BG2" s="246"/>
      <c r="BH2" s="246"/>
      <c r="BI2" s="246"/>
      <c r="BJ2" s="246"/>
      <c r="BK2" s="246"/>
      <c r="BL2" s="246"/>
      <c r="BM2" s="246"/>
      <c r="BN2" s="246"/>
      <c r="BO2" s="245"/>
      <c r="BP2" s="245"/>
      <c r="BQ2" s="245"/>
      <c r="BR2" s="245"/>
      <c r="BS2" s="245"/>
      <c r="BT2" s="246"/>
      <c r="BU2" s="246"/>
      <c r="BV2" s="246"/>
      <c r="BW2" s="246"/>
      <c r="BX2" s="246"/>
      <c r="BY2" s="246"/>
      <c r="BZ2" s="246"/>
      <c r="CA2" s="248"/>
      <c r="CB2" s="248"/>
      <c r="CJ2" s="67"/>
      <c r="CK2" s="67"/>
      <c r="CL2" s="67"/>
      <c r="CM2" s="67"/>
      <c r="CN2" s="68"/>
      <c r="CO2" s="69"/>
      <c r="CP2" s="69"/>
      <c r="CQ2" s="69"/>
      <c r="CR2" s="69"/>
      <c r="CS2" s="69"/>
      <c r="CT2" s="69"/>
      <c r="CU2" s="69"/>
      <c r="CV2" s="69"/>
    </row>
    <row r="3" spans="1:101" ht="20.45" hidden="1" customHeight="1" thickBot="1" x14ac:dyDescent="0.25">
      <c r="A3" s="348" t="s">
        <v>10</v>
      </c>
      <c r="B3" s="349"/>
      <c r="C3" s="350"/>
      <c r="D3" s="250" t="s">
        <v>25</v>
      </c>
      <c r="E3" s="346" t="s">
        <v>400</v>
      </c>
      <c r="F3" s="347"/>
      <c r="G3" s="251"/>
      <c r="H3" s="252" t="s">
        <v>167</v>
      </c>
      <c r="I3" s="250" t="s">
        <v>26</v>
      </c>
      <c r="J3" s="250">
        <v>2021</v>
      </c>
      <c r="K3" s="253"/>
      <c r="L3" s="254" t="s">
        <v>430</v>
      </c>
      <c r="M3" s="255"/>
      <c r="N3" s="255"/>
      <c r="O3" s="255"/>
      <c r="P3" s="255"/>
      <c r="Q3" s="255"/>
      <c r="R3" s="255"/>
      <c r="S3" s="255"/>
      <c r="T3" s="255"/>
      <c r="U3" s="255"/>
      <c r="V3" s="255"/>
      <c r="W3" s="255"/>
      <c r="X3" s="255"/>
      <c r="Y3" s="255"/>
      <c r="Z3" s="255"/>
      <c r="AA3" s="255"/>
      <c r="AB3" s="255"/>
      <c r="AC3" s="255"/>
      <c r="AD3" s="255"/>
      <c r="AE3" s="255"/>
      <c r="AF3" s="255"/>
      <c r="AG3" s="256"/>
      <c r="AH3" s="256"/>
      <c r="AI3" s="256"/>
      <c r="AJ3" s="256"/>
      <c r="AK3" s="256"/>
      <c r="AL3" s="257"/>
      <c r="AM3" s="258"/>
      <c r="AN3" s="258"/>
      <c r="AO3" s="259"/>
      <c r="AP3" s="259"/>
      <c r="AQ3" s="253"/>
      <c r="AR3" s="254"/>
      <c r="AS3" s="254"/>
      <c r="AT3" s="254"/>
      <c r="AU3" s="254"/>
      <c r="AV3" s="260"/>
      <c r="AW3" s="260"/>
      <c r="AX3" s="254"/>
      <c r="AY3" s="254"/>
      <c r="AZ3" s="254"/>
      <c r="BA3" s="254"/>
      <c r="BB3" s="254"/>
      <c r="BC3" s="254"/>
      <c r="BD3" s="254"/>
      <c r="BE3" s="261"/>
      <c r="BF3" s="261"/>
      <c r="BG3" s="261"/>
      <c r="BH3" s="261"/>
      <c r="BI3" s="261"/>
      <c r="BJ3" s="261"/>
      <c r="BK3" s="261"/>
      <c r="BL3" s="261"/>
      <c r="BM3" s="261"/>
      <c r="BN3" s="261"/>
      <c r="BO3" s="253"/>
      <c r="BP3" s="253"/>
      <c r="BQ3" s="253"/>
      <c r="BR3" s="253"/>
      <c r="BS3" s="253"/>
      <c r="BT3" s="254"/>
      <c r="BU3" s="254"/>
      <c r="BV3" s="254"/>
      <c r="BW3" s="254"/>
      <c r="BX3" s="254"/>
      <c r="BY3" s="258"/>
      <c r="BZ3" s="258"/>
      <c r="CD3" s="60"/>
      <c r="CE3" s="64"/>
      <c r="CF3" s="64"/>
      <c r="CG3" s="64"/>
      <c r="CH3" s="64"/>
      <c r="CI3" s="64"/>
      <c r="CJ3" s="61" t="s">
        <v>389</v>
      </c>
      <c r="CK3" s="61" t="s">
        <v>389</v>
      </c>
      <c r="CL3" s="61" t="s">
        <v>389</v>
      </c>
      <c r="CM3" s="61" t="s">
        <v>390</v>
      </c>
      <c r="CO3" s="63" t="s">
        <v>391</v>
      </c>
      <c r="CP3" s="63" t="s">
        <v>391</v>
      </c>
      <c r="CQ3" s="63" t="s">
        <v>392</v>
      </c>
      <c r="CR3" s="63" t="s">
        <v>393</v>
      </c>
      <c r="CS3" s="63" t="s">
        <v>389</v>
      </c>
      <c r="CT3" s="63" t="s">
        <v>389</v>
      </c>
      <c r="CU3" s="63" t="s">
        <v>389</v>
      </c>
      <c r="CV3" s="63"/>
    </row>
    <row r="4" spans="1:101" s="262" customFormat="1" ht="21.95" hidden="1" customHeight="1" thickBot="1" x14ac:dyDescent="0.25">
      <c r="A4" s="357" t="s">
        <v>27</v>
      </c>
      <c r="B4" s="357"/>
      <c r="C4" s="340" t="s">
        <v>28</v>
      </c>
      <c r="D4" s="341"/>
      <c r="E4" s="341"/>
      <c r="F4" s="341"/>
      <c r="G4" s="341"/>
      <c r="H4" s="342"/>
      <c r="I4" s="343" t="s">
        <v>308</v>
      </c>
      <c r="J4" s="344"/>
      <c r="K4" s="344"/>
      <c r="L4" s="344"/>
      <c r="M4" s="344"/>
      <c r="N4" s="344"/>
      <c r="O4" s="344"/>
      <c r="P4" s="344"/>
      <c r="Q4" s="344"/>
      <c r="R4" s="344"/>
      <c r="S4" s="344"/>
      <c r="T4" s="345"/>
      <c r="U4" s="368" t="s">
        <v>29</v>
      </c>
      <c r="V4" s="369"/>
      <c r="W4" s="369"/>
      <c r="X4" s="369"/>
      <c r="Y4" s="369"/>
      <c r="Z4" s="369"/>
      <c r="AA4" s="369"/>
      <c r="AB4" s="369"/>
      <c r="AC4" s="369"/>
      <c r="AD4" s="369"/>
      <c r="AE4" s="369"/>
      <c r="AF4" s="369"/>
      <c r="AG4" s="370"/>
      <c r="AH4" s="370"/>
      <c r="AI4" s="370"/>
      <c r="AJ4" s="370"/>
      <c r="AK4" s="370"/>
      <c r="AL4" s="371"/>
      <c r="AM4" s="363" t="s">
        <v>444</v>
      </c>
      <c r="AN4" s="363" t="s">
        <v>379</v>
      </c>
      <c r="AO4" s="372" t="s">
        <v>30</v>
      </c>
      <c r="AP4" s="373"/>
      <c r="AQ4" s="373"/>
      <c r="AR4" s="373"/>
      <c r="AS4" s="373"/>
      <c r="AT4" s="373"/>
      <c r="AU4" s="373"/>
      <c r="AV4" s="373"/>
      <c r="AW4" s="373"/>
      <c r="AX4" s="373"/>
      <c r="AY4" s="373"/>
      <c r="AZ4" s="373"/>
      <c r="BA4" s="373"/>
      <c r="BB4" s="374"/>
      <c r="BC4" s="386" t="s">
        <v>31</v>
      </c>
      <c r="BD4" s="370"/>
      <c r="BE4" s="370"/>
      <c r="BF4" s="370"/>
      <c r="BG4" s="370"/>
      <c r="BH4" s="370"/>
      <c r="BI4" s="370"/>
      <c r="BJ4" s="370"/>
      <c r="BK4" s="370"/>
      <c r="BL4" s="370"/>
      <c r="BM4" s="370"/>
      <c r="BN4" s="370"/>
      <c r="BO4" s="370"/>
      <c r="BP4" s="370"/>
      <c r="BQ4" s="370"/>
      <c r="BR4" s="370"/>
      <c r="BS4" s="370"/>
      <c r="BT4" s="370"/>
      <c r="BU4" s="370"/>
      <c r="BV4" s="370"/>
      <c r="BW4" s="370"/>
      <c r="BX4" s="387"/>
      <c r="BY4" s="363" t="s">
        <v>444</v>
      </c>
      <c r="BZ4" s="363" t="s">
        <v>379</v>
      </c>
      <c r="CA4" s="382" t="s">
        <v>32</v>
      </c>
      <c r="CB4" s="144"/>
      <c r="CC4" s="70"/>
      <c r="CD4" s="376" t="s">
        <v>56</v>
      </c>
      <c r="CE4" s="376" t="s">
        <v>138</v>
      </c>
      <c r="CF4" s="376" t="s">
        <v>57</v>
      </c>
      <c r="CG4" s="376" t="s">
        <v>46</v>
      </c>
      <c r="CH4" s="376" t="s">
        <v>58</v>
      </c>
      <c r="CI4" s="376" t="s">
        <v>59</v>
      </c>
      <c r="CJ4" s="377" t="s">
        <v>60</v>
      </c>
      <c r="CK4" s="377" t="s">
        <v>61</v>
      </c>
      <c r="CL4" s="377" t="s">
        <v>62</v>
      </c>
      <c r="CM4" s="377" t="s">
        <v>62</v>
      </c>
      <c r="CN4" s="70"/>
      <c r="CO4" s="375" t="s">
        <v>63</v>
      </c>
      <c r="CP4" s="375" t="s">
        <v>63</v>
      </c>
      <c r="CQ4" s="375" t="s">
        <v>64</v>
      </c>
      <c r="CR4" s="375" t="s">
        <v>64</v>
      </c>
      <c r="CS4" s="375" t="s">
        <v>65</v>
      </c>
      <c r="CT4" s="375" t="s">
        <v>65</v>
      </c>
      <c r="CU4" s="375" t="s">
        <v>66</v>
      </c>
      <c r="CV4" s="71"/>
    </row>
    <row r="5" spans="1:101" s="263" customFormat="1" ht="24" customHeight="1" thickBot="1" x14ac:dyDescent="0.25">
      <c r="A5" s="357" t="s">
        <v>33</v>
      </c>
      <c r="B5" s="357" t="s">
        <v>34</v>
      </c>
      <c r="C5" s="339" t="s">
        <v>35</v>
      </c>
      <c r="D5" s="339" t="s">
        <v>137</v>
      </c>
      <c r="E5" s="339" t="s">
        <v>36</v>
      </c>
      <c r="F5" s="339" t="s">
        <v>37</v>
      </c>
      <c r="G5" s="339" t="s">
        <v>223</v>
      </c>
      <c r="H5" s="339" t="s">
        <v>38</v>
      </c>
      <c r="I5" s="355" t="s">
        <v>57</v>
      </c>
      <c r="J5" s="351" t="s">
        <v>39</v>
      </c>
      <c r="K5" s="351" t="s">
        <v>40</v>
      </c>
      <c r="L5" s="351" t="s">
        <v>41</v>
      </c>
      <c r="M5" s="351" t="s">
        <v>42</v>
      </c>
      <c r="N5" s="351" t="s">
        <v>43</v>
      </c>
      <c r="O5" s="358" t="s">
        <v>371</v>
      </c>
      <c r="P5" s="359"/>
      <c r="Q5" s="359"/>
      <c r="R5" s="360"/>
      <c r="S5" s="351" t="s">
        <v>247</v>
      </c>
      <c r="T5" s="353" t="s">
        <v>44</v>
      </c>
      <c r="U5" s="378" t="s">
        <v>45</v>
      </c>
      <c r="V5" s="379"/>
      <c r="W5" s="379"/>
      <c r="X5" s="379"/>
      <c r="Y5" s="379"/>
      <c r="Z5" s="379"/>
      <c r="AA5" s="379"/>
      <c r="AB5" s="379"/>
      <c r="AC5" s="379"/>
      <c r="AD5" s="379"/>
      <c r="AE5" s="379"/>
      <c r="AF5" s="380"/>
      <c r="AG5" s="333" t="s">
        <v>519</v>
      </c>
      <c r="AH5" s="333" t="s">
        <v>520</v>
      </c>
      <c r="AI5" s="331" t="s">
        <v>521</v>
      </c>
      <c r="AJ5" s="331" t="s">
        <v>522</v>
      </c>
      <c r="AK5" s="331" t="s">
        <v>523</v>
      </c>
      <c r="AL5" s="361" t="s">
        <v>67</v>
      </c>
      <c r="AM5" s="364"/>
      <c r="AN5" s="364"/>
      <c r="AO5" s="366" t="s">
        <v>46</v>
      </c>
      <c r="AP5" s="337" t="s">
        <v>47</v>
      </c>
      <c r="AQ5" s="337" t="s">
        <v>40</v>
      </c>
      <c r="AR5" s="337" t="s">
        <v>41</v>
      </c>
      <c r="AS5" s="337" t="s">
        <v>42</v>
      </c>
      <c r="AT5" s="337" t="s">
        <v>43</v>
      </c>
      <c r="AU5" s="337" t="s">
        <v>44</v>
      </c>
      <c r="AV5" s="335" t="s">
        <v>48</v>
      </c>
      <c r="AW5" s="335" t="s">
        <v>49</v>
      </c>
      <c r="AX5" s="372" t="s">
        <v>50</v>
      </c>
      <c r="AY5" s="373"/>
      <c r="AZ5" s="373"/>
      <c r="BA5" s="373"/>
      <c r="BB5" s="374"/>
      <c r="BC5" s="368" t="s">
        <v>45</v>
      </c>
      <c r="BD5" s="369"/>
      <c r="BE5" s="369"/>
      <c r="BF5" s="369"/>
      <c r="BG5" s="369"/>
      <c r="BH5" s="369"/>
      <c r="BI5" s="369"/>
      <c r="BJ5" s="369"/>
      <c r="BK5" s="369"/>
      <c r="BL5" s="369"/>
      <c r="BM5" s="369"/>
      <c r="BN5" s="381"/>
      <c r="BO5" s="333" t="s">
        <v>519</v>
      </c>
      <c r="BP5" s="333" t="s">
        <v>520</v>
      </c>
      <c r="BQ5" s="331" t="s">
        <v>521</v>
      </c>
      <c r="BR5" s="331" t="s">
        <v>522</v>
      </c>
      <c r="BS5" s="361" t="s">
        <v>67</v>
      </c>
      <c r="BT5" s="383" t="s">
        <v>51</v>
      </c>
      <c r="BU5" s="383" t="s">
        <v>52</v>
      </c>
      <c r="BV5" s="383" t="s">
        <v>53</v>
      </c>
      <c r="BW5" s="383" t="s">
        <v>54</v>
      </c>
      <c r="BX5" s="368" t="s">
        <v>55</v>
      </c>
      <c r="BY5" s="364"/>
      <c r="BZ5" s="364"/>
      <c r="CA5" s="382"/>
      <c r="CB5" s="329" t="s">
        <v>572</v>
      </c>
      <c r="CC5" s="9"/>
      <c r="CD5" s="376"/>
      <c r="CE5" s="376"/>
      <c r="CF5" s="376"/>
      <c r="CG5" s="376"/>
      <c r="CH5" s="376"/>
      <c r="CI5" s="376"/>
      <c r="CJ5" s="377"/>
      <c r="CK5" s="377"/>
      <c r="CL5" s="377"/>
      <c r="CM5" s="377"/>
      <c r="CN5" s="9"/>
      <c r="CO5" s="375"/>
      <c r="CP5" s="375"/>
      <c r="CQ5" s="375"/>
      <c r="CR5" s="375"/>
      <c r="CS5" s="375"/>
      <c r="CT5" s="375"/>
      <c r="CU5" s="375"/>
      <c r="CV5" s="12" t="s">
        <v>66</v>
      </c>
    </row>
    <row r="6" spans="1:101" s="263" customFormat="1" ht="24" customHeight="1" thickBot="1" x14ac:dyDescent="0.25">
      <c r="A6" s="357"/>
      <c r="B6" s="357"/>
      <c r="C6" s="339"/>
      <c r="D6" s="339"/>
      <c r="E6" s="339"/>
      <c r="F6" s="339"/>
      <c r="G6" s="339"/>
      <c r="H6" s="339"/>
      <c r="I6" s="356"/>
      <c r="J6" s="352"/>
      <c r="K6" s="352"/>
      <c r="L6" s="352"/>
      <c r="M6" s="352"/>
      <c r="N6" s="352"/>
      <c r="O6" s="166">
        <v>2019</v>
      </c>
      <c r="P6" s="166">
        <v>2020</v>
      </c>
      <c r="Q6" s="166">
        <v>2021</v>
      </c>
      <c r="R6" s="166">
        <v>2022</v>
      </c>
      <c r="S6" s="352"/>
      <c r="T6" s="354"/>
      <c r="U6" s="88">
        <v>2019</v>
      </c>
      <c r="V6" s="88" t="s">
        <v>372</v>
      </c>
      <c r="W6" s="88" t="s">
        <v>373</v>
      </c>
      <c r="X6" s="88" t="s">
        <v>374</v>
      </c>
      <c r="Y6" s="88" t="s">
        <v>399</v>
      </c>
      <c r="Z6" s="88">
        <v>2020</v>
      </c>
      <c r="AA6" s="88" t="s">
        <v>515</v>
      </c>
      <c r="AB6" s="88" t="s">
        <v>516</v>
      </c>
      <c r="AC6" s="308" t="s">
        <v>517</v>
      </c>
      <c r="AD6" s="308" t="s">
        <v>518</v>
      </c>
      <c r="AE6" s="308" t="s">
        <v>524</v>
      </c>
      <c r="AF6" s="308" t="s">
        <v>571</v>
      </c>
      <c r="AG6" s="334"/>
      <c r="AH6" s="334"/>
      <c r="AI6" s="332"/>
      <c r="AJ6" s="332"/>
      <c r="AK6" s="332"/>
      <c r="AL6" s="362"/>
      <c r="AM6" s="365"/>
      <c r="AN6" s="365"/>
      <c r="AO6" s="367"/>
      <c r="AP6" s="338"/>
      <c r="AQ6" s="338"/>
      <c r="AR6" s="338"/>
      <c r="AS6" s="338"/>
      <c r="AT6" s="338"/>
      <c r="AU6" s="338"/>
      <c r="AV6" s="336"/>
      <c r="AW6" s="336"/>
      <c r="AX6" s="89">
        <v>2019</v>
      </c>
      <c r="AY6" s="89">
        <v>2020</v>
      </c>
      <c r="AZ6" s="89">
        <v>2021</v>
      </c>
      <c r="BA6" s="89">
        <v>2022</v>
      </c>
      <c r="BB6" s="89" t="s">
        <v>146</v>
      </c>
      <c r="BC6" s="88">
        <v>2019</v>
      </c>
      <c r="BD6" s="88" t="s">
        <v>372</v>
      </c>
      <c r="BE6" s="88" t="s">
        <v>373</v>
      </c>
      <c r="BF6" s="88" t="s">
        <v>374</v>
      </c>
      <c r="BG6" s="88" t="s">
        <v>399</v>
      </c>
      <c r="BH6" s="88">
        <v>2020</v>
      </c>
      <c r="BI6" s="88" t="s">
        <v>515</v>
      </c>
      <c r="BJ6" s="88" t="s">
        <v>516</v>
      </c>
      <c r="BK6" s="308" t="s">
        <v>517</v>
      </c>
      <c r="BL6" s="308" t="s">
        <v>518</v>
      </c>
      <c r="BM6" s="308" t="s">
        <v>524</v>
      </c>
      <c r="BN6" s="308" t="s">
        <v>571</v>
      </c>
      <c r="BO6" s="334"/>
      <c r="BP6" s="334"/>
      <c r="BQ6" s="332"/>
      <c r="BR6" s="332"/>
      <c r="BS6" s="362"/>
      <c r="BT6" s="384"/>
      <c r="BU6" s="384"/>
      <c r="BV6" s="384"/>
      <c r="BW6" s="384"/>
      <c r="BX6" s="385"/>
      <c r="BY6" s="365"/>
      <c r="BZ6" s="365"/>
      <c r="CA6" s="382"/>
      <c r="CB6" s="330"/>
      <c r="CC6" s="10"/>
      <c r="CD6" s="11">
        <v>44377</v>
      </c>
      <c r="CE6" s="376"/>
      <c r="CF6" s="376"/>
      <c r="CG6" s="376"/>
      <c r="CH6" s="376"/>
      <c r="CI6" s="376"/>
      <c r="CJ6" s="377"/>
      <c r="CK6" s="377"/>
      <c r="CL6" s="377"/>
      <c r="CM6" s="377"/>
      <c r="CN6" s="10"/>
      <c r="CO6" s="375"/>
      <c r="CP6" s="375"/>
      <c r="CQ6" s="375"/>
      <c r="CR6" s="375"/>
      <c r="CS6" s="375"/>
      <c r="CT6" s="375"/>
      <c r="CU6" s="375"/>
      <c r="CV6" s="13"/>
    </row>
    <row r="7" spans="1:101" s="270" customFormat="1" ht="18.95" customHeight="1" x14ac:dyDescent="0.2">
      <c r="A7" s="264" t="str">
        <f>A5</f>
        <v>Entidad</v>
      </c>
      <c r="B7" s="264" t="str">
        <f t="shared" ref="B7:AL7" si="0">B5</f>
        <v>Servidor Público</v>
      </c>
      <c r="C7" s="264" t="str">
        <f t="shared" si="0"/>
        <v>Pacto Plan Nacional de Desarrollo (PND)</v>
      </c>
      <c r="D7" s="264" t="str">
        <f t="shared" si="0"/>
        <v>Relacionado con el Sistema de Paz y Estabilización (PMI)</v>
      </c>
      <c r="E7" s="264" t="str">
        <f t="shared" si="0"/>
        <v>Relacionado con los Objetivos de Desarrollo Sostenible (ODS)</v>
      </c>
      <c r="F7" s="264" t="str">
        <f t="shared" si="0"/>
        <v>Relacionado con Objetivo Zonas Fututo (ZF)</v>
      </c>
      <c r="G7" s="264" t="str">
        <f t="shared" si="0"/>
        <v>Relación Política Pública (Ley, Doc. Conpes, Decreto, Otro)</v>
      </c>
      <c r="H7" s="264" t="str">
        <f t="shared" si="0"/>
        <v xml:space="preserve">Objetivo Estratégico Sectorial </v>
      </c>
      <c r="I7" s="264" t="str">
        <f t="shared" si="0"/>
        <v>Nombre de Prioridad estratégica sectorial</v>
      </c>
      <c r="J7" s="264" t="str">
        <f t="shared" si="0"/>
        <v>Indicador Prioridad Estratégica Sectorial</v>
      </c>
      <c r="K7" s="264" t="str">
        <f t="shared" si="0"/>
        <v>Fórmula de cálculo</v>
      </c>
      <c r="L7" s="264" t="str">
        <f t="shared" si="0"/>
        <v>Tipo</v>
      </c>
      <c r="M7" s="264" t="str">
        <f t="shared" si="0"/>
        <v>Tipo de Acumulación</v>
      </c>
      <c r="N7" s="264" t="str">
        <f t="shared" si="0"/>
        <v>Línea base</v>
      </c>
      <c r="O7" s="264">
        <f>O6</f>
        <v>2019</v>
      </c>
      <c r="P7" s="264">
        <f t="shared" ref="P7:R7" si="1">P6</f>
        <v>2020</v>
      </c>
      <c r="Q7" s="264">
        <f t="shared" si="1"/>
        <v>2021</v>
      </c>
      <c r="R7" s="264">
        <f t="shared" si="1"/>
        <v>2022</v>
      </c>
      <c r="S7" s="264" t="str">
        <f t="shared" si="0"/>
        <v>Meta cuatrienio</v>
      </c>
      <c r="T7" s="264" t="str">
        <f t="shared" si="0"/>
        <v>Unidad de medida</v>
      </c>
      <c r="U7" s="264">
        <f t="shared" ref="U7" si="2">U6</f>
        <v>2019</v>
      </c>
      <c r="V7" s="264" t="str">
        <f t="shared" ref="V7" si="3">V6</f>
        <v>I trim 2020</v>
      </c>
      <c r="W7" s="264" t="str">
        <f t="shared" ref="W7" si="4">W6</f>
        <v>II trim 2020</v>
      </c>
      <c r="X7" s="264" t="str">
        <f t="shared" ref="X7:Z7" si="5">X6</f>
        <v>III trim 2020</v>
      </c>
      <c r="Y7" s="264" t="str">
        <f t="shared" si="5"/>
        <v>IV trim 2020</v>
      </c>
      <c r="Z7" s="264">
        <f t="shared" si="5"/>
        <v>2020</v>
      </c>
      <c r="AA7" s="264" t="str">
        <f>+AA6</f>
        <v>I trim 2021</v>
      </c>
      <c r="AB7" s="264" t="str">
        <f t="shared" ref="AB7:AF7" si="6">+AB6</f>
        <v>II trim 2021</v>
      </c>
      <c r="AC7" s="309" t="str">
        <f t="shared" si="6"/>
        <v>III trim 2021</v>
      </c>
      <c r="AD7" s="309" t="str">
        <f t="shared" si="6"/>
        <v>IV trim 2021</v>
      </c>
      <c r="AE7" s="309" t="str">
        <f t="shared" si="6"/>
        <v>TOTAL 2021</v>
      </c>
      <c r="AF7" s="309" t="str">
        <f t="shared" si="6"/>
        <v>TOTAL CUATRIENIO</v>
      </c>
      <c r="AG7" s="264" t="str">
        <f t="shared" si="0"/>
        <v>RESULTADO ALCANZADO I TRIMESTRE</v>
      </c>
      <c r="AH7" s="264" t="str">
        <f>+AH5</f>
        <v>RESULTADO ALCANZADO II TRIMESTRE</v>
      </c>
      <c r="AI7" s="309"/>
      <c r="AJ7" s="309"/>
      <c r="AK7" s="309" t="str">
        <f>+AK5</f>
        <v>RESULTADO ALCANZADO 2021</v>
      </c>
      <c r="AL7" s="309" t="str">
        <f t="shared" si="0"/>
        <v xml:space="preserve">DIFICULTADES </v>
      </c>
      <c r="AM7" s="265" t="str">
        <f>AM4</f>
        <v>% Avance 2021</v>
      </c>
      <c r="AN7" s="265" t="str">
        <f>AN4</f>
        <v>% Avance cuatrienio</v>
      </c>
      <c r="AO7" s="265" t="str">
        <f t="shared" ref="AO7:CA7" si="7">AO4</f>
        <v xml:space="preserve">Iniciativa </v>
      </c>
      <c r="AP7" s="265" t="str">
        <f>AP5</f>
        <v xml:space="preserve">Indicador de la iniciativa </v>
      </c>
      <c r="AQ7" s="265" t="str">
        <f t="shared" ref="AQ7:AW7" si="8">AQ5</f>
        <v>Fórmula de cálculo</v>
      </c>
      <c r="AR7" s="265" t="str">
        <f t="shared" si="8"/>
        <v>Tipo</v>
      </c>
      <c r="AS7" s="265" t="str">
        <f t="shared" si="8"/>
        <v>Tipo de Acumulación</v>
      </c>
      <c r="AT7" s="265" t="str">
        <f t="shared" si="8"/>
        <v>Línea base</v>
      </c>
      <c r="AU7" s="265" t="str">
        <f t="shared" si="8"/>
        <v>Unidad de medida</v>
      </c>
      <c r="AV7" s="265" t="str">
        <f t="shared" si="8"/>
        <v>Fecha de Inicio de la iniciativa</v>
      </c>
      <c r="AW7" s="265" t="str">
        <f t="shared" si="8"/>
        <v>Fecha de terminación de la iniciativa</v>
      </c>
      <c r="AX7" s="266">
        <f>AX6</f>
        <v>2019</v>
      </c>
      <c r="AY7" s="266">
        <f t="shared" ref="AY7:BB7" si="9">AY6</f>
        <v>2020</v>
      </c>
      <c r="AZ7" s="266">
        <f t="shared" si="9"/>
        <v>2021</v>
      </c>
      <c r="BA7" s="266">
        <f t="shared" si="9"/>
        <v>2022</v>
      </c>
      <c r="BB7" s="266" t="str">
        <f t="shared" si="9"/>
        <v>Total Cuatrienio</v>
      </c>
      <c r="BC7" s="267">
        <f>BC6</f>
        <v>2019</v>
      </c>
      <c r="BD7" s="265" t="str">
        <f t="shared" ref="BD7:BH7" si="10">BD6</f>
        <v>I trim 2020</v>
      </c>
      <c r="BE7" s="265" t="str">
        <f t="shared" si="10"/>
        <v>II trim 2020</v>
      </c>
      <c r="BF7" s="265" t="str">
        <f t="shared" si="10"/>
        <v>III trim 2020</v>
      </c>
      <c r="BG7" s="265" t="str">
        <f t="shared" si="10"/>
        <v>IV trim 2020</v>
      </c>
      <c r="BH7" s="268">
        <f t="shared" si="10"/>
        <v>2020</v>
      </c>
      <c r="BI7" s="268" t="str">
        <f>+BI6</f>
        <v>I trim 2021</v>
      </c>
      <c r="BJ7" s="268" t="str">
        <f>+BJ6</f>
        <v>II trim 2021</v>
      </c>
      <c r="BK7" s="313"/>
      <c r="BL7" s="313"/>
      <c r="BM7" s="313" t="str">
        <f>+BM6</f>
        <v>TOTAL 2021</v>
      </c>
      <c r="BN7" s="313" t="str">
        <f>+BN6</f>
        <v>TOTAL CUATRIENIO</v>
      </c>
      <c r="BO7" s="265" t="str">
        <f>BO5</f>
        <v>RESULTADO ALCANZADO I TRIMESTRE</v>
      </c>
      <c r="BP7" s="265" t="str">
        <f>+BP5</f>
        <v>RESULTADO ALCANZADO II TRIMESTRE</v>
      </c>
      <c r="BQ7" s="314"/>
      <c r="BR7" s="314"/>
      <c r="BS7" s="314" t="str">
        <f t="shared" ref="BS7:BX7" si="11">BS5</f>
        <v xml:space="preserve">DIFICULTADES </v>
      </c>
      <c r="BT7" s="265" t="str">
        <f t="shared" si="11"/>
        <v xml:space="preserve"> PRESUPUESTO APROPIADO</v>
      </c>
      <c r="BU7" s="265" t="str">
        <f t="shared" si="11"/>
        <v>PRESUPUESTO COMPROMETIDO</v>
      </c>
      <c r="BV7" s="265" t="str">
        <f t="shared" si="11"/>
        <v>PRESUPUESTO OBLIGADO</v>
      </c>
      <c r="BW7" s="265" t="str">
        <f t="shared" si="11"/>
        <v>% COMPROMETIDO</v>
      </c>
      <c r="BX7" s="265" t="str">
        <f t="shared" si="11"/>
        <v>% EJECUCIÓN</v>
      </c>
      <c r="BY7" s="265" t="str">
        <f t="shared" si="7"/>
        <v>% Avance 2021</v>
      </c>
      <c r="BZ7" s="265" t="str">
        <f t="shared" si="7"/>
        <v>% Avance cuatrienio</v>
      </c>
      <c r="CA7" s="265" t="str">
        <f t="shared" si="7"/>
        <v xml:space="preserve">Medidas correctivas </v>
      </c>
      <c r="CB7" s="265" t="str">
        <f>CB5</f>
        <v>Trazabilidad</v>
      </c>
      <c r="CC7" s="30"/>
      <c r="CD7" s="31"/>
      <c r="CE7" s="32"/>
      <c r="CF7" s="32"/>
      <c r="CG7" s="32"/>
      <c r="CH7" s="32"/>
      <c r="CI7" s="32"/>
      <c r="CJ7" s="33"/>
      <c r="CK7" s="33"/>
      <c r="CL7" s="33"/>
      <c r="CM7" s="33"/>
      <c r="CN7" s="34"/>
      <c r="CO7" s="35"/>
      <c r="CP7" s="35"/>
      <c r="CQ7" s="35"/>
      <c r="CR7" s="35"/>
      <c r="CS7" s="35"/>
      <c r="CT7" s="35"/>
      <c r="CU7" s="35"/>
      <c r="CV7" s="36"/>
      <c r="CW7" s="269"/>
    </row>
    <row r="8" spans="1:101" s="274" customFormat="1" ht="150" hidden="1" customHeight="1" x14ac:dyDescent="0.2">
      <c r="A8" s="167" t="s">
        <v>11</v>
      </c>
      <c r="B8" s="22" t="s">
        <v>227</v>
      </c>
      <c r="C8" s="22" t="s">
        <v>68</v>
      </c>
      <c r="D8" s="22" t="s">
        <v>68</v>
      </c>
      <c r="E8" s="22" t="s">
        <v>68</v>
      </c>
      <c r="F8" s="22" t="s">
        <v>68</v>
      </c>
      <c r="G8" s="22" t="s">
        <v>69</v>
      </c>
      <c r="H8" s="90" t="s">
        <v>252</v>
      </c>
      <c r="I8" s="90" t="s">
        <v>254</v>
      </c>
      <c r="J8" s="90" t="s">
        <v>343</v>
      </c>
      <c r="K8" s="90" t="s">
        <v>203</v>
      </c>
      <c r="L8" s="22" t="s">
        <v>70</v>
      </c>
      <c r="M8" s="22" t="s">
        <v>71</v>
      </c>
      <c r="N8" s="91" t="s">
        <v>101</v>
      </c>
      <c r="O8" s="92">
        <v>0</v>
      </c>
      <c r="P8" s="91">
        <v>4</v>
      </c>
      <c r="Q8" s="91">
        <v>4</v>
      </c>
      <c r="R8" s="91">
        <v>4</v>
      </c>
      <c r="S8" s="91">
        <v>12</v>
      </c>
      <c r="T8" s="22" t="s">
        <v>72</v>
      </c>
      <c r="U8" s="92">
        <v>0</v>
      </c>
      <c r="V8" s="22">
        <v>4</v>
      </c>
      <c r="W8" s="92">
        <v>0</v>
      </c>
      <c r="X8" s="92">
        <v>0</v>
      </c>
      <c r="Y8" s="92">
        <v>0</v>
      </c>
      <c r="Z8" s="93">
        <v>4</v>
      </c>
      <c r="AA8" s="150">
        <v>0</v>
      </c>
      <c r="AB8" s="271">
        <v>4</v>
      </c>
      <c r="AC8" s="178"/>
      <c r="AD8" s="178"/>
      <c r="AE8" s="178"/>
      <c r="AF8" s="178"/>
      <c r="AG8" s="104" t="s">
        <v>468</v>
      </c>
      <c r="AH8" s="104" t="s">
        <v>525</v>
      </c>
      <c r="AI8" s="192"/>
      <c r="AJ8" s="192"/>
      <c r="AK8" s="192"/>
      <c r="AL8" s="193"/>
      <c r="AM8" s="103">
        <v>1</v>
      </c>
      <c r="AN8" s="103">
        <v>0.66666666666666663</v>
      </c>
      <c r="AO8" s="109" t="s">
        <v>271</v>
      </c>
      <c r="AP8" s="109" t="s">
        <v>216</v>
      </c>
      <c r="AQ8" s="90" t="s">
        <v>73</v>
      </c>
      <c r="AR8" s="22" t="s">
        <v>9</v>
      </c>
      <c r="AS8" s="22" t="s">
        <v>71</v>
      </c>
      <c r="AT8" s="110" t="s">
        <v>101</v>
      </c>
      <c r="AU8" s="91" t="s">
        <v>72</v>
      </c>
      <c r="AV8" s="21">
        <v>43831</v>
      </c>
      <c r="AW8" s="21">
        <v>44926</v>
      </c>
      <c r="AX8" s="92">
        <v>0</v>
      </c>
      <c r="AY8" s="91">
        <v>4</v>
      </c>
      <c r="AZ8" s="91">
        <v>4</v>
      </c>
      <c r="BA8" s="91">
        <v>4</v>
      </c>
      <c r="BB8" s="91">
        <f>SUBTOTAL(9,AY8:BA8)</f>
        <v>0</v>
      </c>
      <c r="BC8" s="92"/>
      <c r="BD8" s="91">
        <v>1</v>
      </c>
      <c r="BE8" s="91">
        <v>4</v>
      </c>
      <c r="BF8" s="92">
        <v>4</v>
      </c>
      <c r="BG8" s="92">
        <v>4</v>
      </c>
      <c r="BH8" s="91">
        <v>4</v>
      </c>
      <c r="BI8" s="150"/>
      <c r="BJ8" s="271">
        <v>4</v>
      </c>
      <c r="BK8" s="178"/>
      <c r="BL8" s="178"/>
      <c r="BM8" s="178"/>
      <c r="BN8" s="178"/>
      <c r="BO8" s="154" t="s">
        <v>469</v>
      </c>
      <c r="BP8" s="154" t="s">
        <v>526</v>
      </c>
      <c r="BQ8" s="212"/>
      <c r="BR8" s="155"/>
      <c r="BS8" s="212"/>
      <c r="BT8" s="143">
        <f>7000000*12*0.2</f>
        <v>16800000</v>
      </c>
      <c r="BU8" s="213"/>
      <c r="BV8" s="213"/>
      <c r="BW8" s="177"/>
      <c r="BX8" s="177"/>
      <c r="BY8" s="315">
        <v>1</v>
      </c>
      <c r="BZ8" s="315">
        <v>0.66666666666666663</v>
      </c>
      <c r="CA8" s="192"/>
      <c r="CB8" s="104"/>
      <c r="CC8" s="272"/>
      <c r="CD8" s="21">
        <v>44377</v>
      </c>
      <c r="CE8" s="22" t="str">
        <f t="shared" ref="CE8:CE71" si="12">+MID(H8,1,10)</f>
        <v>5. Fortale</v>
      </c>
      <c r="CF8" s="22" t="str">
        <f t="shared" ref="CF8:CF39" si="13">+MID(I8,1,100)</f>
        <v>1. Contribuir al desarrollo de los pueblos indígenas en los resguardos de la zona de influencia medi</v>
      </c>
      <c r="CG8" s="22" t="str">
        <f t="shared" ref="CG8:CG39" si="14">+MID(AO8,1,100)</f>
        <v>1.1 Espacios de diálogo promovidos con pueblos indígenas para la formulación e implementación de pro</v>
      </c>
      <c r="CH8" s="22" t="str">
        <f t="shared" ref="CH8:CH39" si="15">+IF(OR(L8="Producto",L8="Resultado"),"Producto",L8)</f>
        <v xml:space="preserve">Resultado </v>
      </c>
      <c r="CI8" s="22" t="str">
        <f t="shared" ref="CI8:CI39" si="16">+IF(OR(AR8="Producto",AR8="Resultado"),"Producto",AR8)</f>
        <v>Gestión</v>
      </c>
      <c r="CJ8" s="273">
        <f t="shared" ref="CJ8:CJ71" si="17">+IFERROR(IF(CE8&lt;&gt;CE7,IF(AM8/(COUNTIF(A:A,A8))&gt;1,1.00001,AM8/(COUNTIF(A:A,A8))),""),0)</f>
        <v>0.125</v>
      </c>
      <c r="CK8" s="273">
        <f t="shared" ref="CK8:CK71" si="18">+IFERROR(IF(CF8&lt;&gt;CF7,IF(AM8/(COUNTIF(CE:CE,CE8))&gt;1,1.00001,AM8/(COUNTIF(CE:CE,CE8))),""),0)</f>
        <v>5.2631578947368418E-2</v>
      </c>
      <c r="CL8" s="273">
        <f t="shared" ref="CL8" si="19">+IFERROR(IF(CG8&lt;&gt;CG7,IF(BY8/(COUNTIF(CF:CF,CF8))&gt;1,1.00001,BY8/(COUNTIF(CF:CF,CF8))),""),0)</f>
        <v>0.5</v>
      </c>
      <c r="CM8" s="273">
        <f t="shared" ref="CM8" si="20">+IFERROR(IF(CG8&lt;&gt;CG7,IF(BZ8/(COUNTIF(CF:CF,CF8))&gt;1,1.00001,BZ8/(COUNTIF(CF:CF,CF8))),""),0)</f>
        <v>0.33333333333333331</v>
      </c>
      <c r="CN8" s="23"/>
      <c r="CO8" s="273">
        <f t="shared" ref="CO8:CO71" si="21">+IFERROR(IF(OR(AM8="No aplica, no hay meta",AM8="No aplica",AM8="No se reportó avance",AM8="No aplica, la fecha de inicio es posterior a la fecha de corte de éste reporte"),"",IF(AVERAGEIF(A:A,A8,CQ:CQ)&gt;1,1.00001,AVERAGEIF(A:A,A8,CQ:CQ))),0)</f>
        <v>0.328125</v>
      </c>
      <c r="CP8" s="273">
        <f t="shared" ref="CP8:CP71" si="22">+IFERROR(IF(OR(AM8="No aplica, no hay meta",AM8="No aplica",AM8="No se reportó avance",AM8="No aplica, la fecha de inicio es posterior a la fecha de corte de éste reporte"),"",IF(AVERAGEIF(A:A,A8,CR:CR)&gt;1,1.00001,AVERAGEIF(A:A,A8,CR:CR))),0)</f>
        <v>0.36547794117647059</v>
      </c>
      <c r="CQ8" s="273">
        <f t="shared" ref="CQ8:CQ71" si="23">+IFERROR(IF(OR(BY8="No aplica, no hay meta",BY8="No aplica",BY8="No se reportó avance",BY8="No aplica, la fecha de inicio es posterior a la fecha de corte de éste reporte"),"",IF(AVERAGEIFS(CS:CS,CE:CE,CE8,A:A,A8)&gt;1,1.00001,AVERAGEIFS(CS:CS,CE:CE,CE8,A:A,A8))),0)</f>
        <v>0.328125</v>
      </c>
      <c r="CR8" s="273">
        <f t="shared" ref="CR8:CR71" si="24">+IFERROR(IF(OR(BZ8="No aplica, no hay meta",BZ8="No aplica",BZ8="No se reportó avance",BZ8="No aplica, la fecha de inicio es posterior a la fecha de corte de éste reporte"),"",IF(AVERAGEIFS(BZ:BZ,CE:CE,CE8,A:A,A8)&gt;1,1.00001,AVERAGEIFS(BZ:BZ,CE:CE,CE8,A:A,A8))),0)</f>
        <v>0.36547794117647059</v>
      </c>
      <c r="CS8" s="273">
        <f t="shared" ref="CS8:CS71" si="25">+IFERROR(IF(OR(BY8="No aplica, no hay meta",BY8="No aplica",BY8="No aplica, la fecha de inicio es posterior a la fecha de corte de éste reporte",AND(CG7=CG8,BY8="No se reportó avance")),"",IF(AVERAGEIFS(BY:BY,CF:CF,CF8,A:A,A8)&gt;1,1.00001,AVERAGEIFS(BY:BY,CF:CF,CF8,A:A,A8))),"")</f>
        <v>0.5</v>
      </c>
      <c r="CT8" s="273">
        <f t="shared" ref="CT8:CT71" si="26">+IFERROR(IF(CF8&lt;&gt;CF7,IF(OR(AM8="No aplica, no hay meta",AM8="No aplica"),"",IF(ISTEXT(AM8)=TRUE,0,IF(AM8&gt;1,1.00001,AM8))),""),0)</f>
        <v>1</v>
      </c>
      <c r="CU8" s="273">
        <f>+IFERROR(IF(CG8&lt;&gt;CG7,IF(OR(BY8="No aplica, no hay meta",BY8="No aplica"),"",IF(ISTEXT(BY8)=TRUE,0,IF(BY8&gt;1,1.00001,BY8))),""),0)</f>
        <v>1</v>
      </c>
      <c r="CV8" s="24">
        <f>+IFERROR(IF(CG8&lt;&gt;#REF!,IF(OR(BZ8="No aplica, no hay meta",BZ8="No aplica"),"",IF(ISTEXT(BZ8)=TRUE,0,IF(BZ8&gt;1,1.00001,BZ8))),""),0)</f>
        <v>0</v>
      </c>
    </row>
    <row r="9" spans="1:101" s="274" customFormat="1" ht="86.1" hidden="1" customHeight="1" x14ac:dyDescent="0.2">
      <c r="A9" s="167" t="s">
        <v>11</v>
      </c>
      <c r="B9" s="22" t="s">
        <v>227</v>
      </c>
      <c r="C9" s="22" t="s">
        <v>68</v>
      </c>
      <c r="D9" s="22" t="s">
        <v>68</v>
      </c>
      <c r="E9" s="22" t="s">
        <v>68</v>
      </c>
      <c r="F9" s="22" t="s">
        <v>68</v>
      </c>
      <c r="G9" s="22" t="s">
        <v>69</v>
      </c>
      <c r="H9" s="90" t="s">
        <v>252</v>
      </c>
      <c r="I9" s="90" t="s">
        <v>254</v>
      </c>
      <c r="J9" s="90" t="s">
        <v>343</v>
      </c>
      <c r="K9" s="90" t="s">
        <v>203</v>
      </c>
      <c r="L9" s="22" t="s">
        <v>70</v>
      </c>
      <c r="M9" s="22" t="s">
        <v>71</v>
      </c>
      <c r="N9" s="91" t="s">
        <v>101</v>
      </c>
      <c r="O9" s="92">
        <v>0</v>
      </c>
      <c r="P9" s="91">
        <v>4</v>
      </c>
      <c r="Q9" s="91">
        <v>4</v>
      </c>
      <c r="R9" s="91">
        <v>6</v>
      </c>
      <c r="S9" s="91">
        <v>12</v>
      </c>
      <c r="T9" s="22" t="s">
        <v>72</v>
      </c>
      <c r="U9" s="92"/>
      <c r="V9" s="92"/>
      <c r="W9" s="92"/>
      <c r="X9" s="92"/>
      <c r="Y9" s="92"/>
      <c r="Z9" s="92"/>
      <c r="AA9" s="150"/>
      <c r="AB9" s="271"/>
      <c r="AC9" s="152"/>
      <c r="AD9" s="152"/>
      <c r="AE9" s="151"/>
      <c r="AF9" s="151"/>
      <c r="AG9" s="154"/>
      <c r="AH9" s="154"/>
      <c r="AI9" s="155"/>
      <c r="AJ9" s="155"/>
      <c r="AK9" s="155"/>
      <c r="AL9" s="153"/>
      <c r="AM9" s="103" t="s">
        <v>584</v>
      </c>
      <c r="AN9" s="103" t="s">
        <v>584</v>
      </c>
      <c r="AO9" s="109" t="s">
        <v>272</v>
      </c>
      <c r="AP9" s="109" t="s">
        <v>192</v>
      </c>
      <c r="AQ9" s="90" t="s">
        <v>74</v>
      </c>
      <c r="AR9" s="22" t="s">
        <v>75</v>
      </c>
      <c r="AS9" s="22" t="s">
        <v>71</v>
      </c>
      <c r="AT9" s="110" t="s">
        <v>101</v>
      </c>
      <c r="AU9" s="91" t="s">
        <v>72</v>
      </c>
      <c r="AV9" s="21">
        <v>43831</v>
      </c>
      <c r="AW9" s="21">
        <v>44926</v>
      </c>
      <c r="AX9" s="92">
        <v>0</v>
      </c>
      <c r="AY9" s="92">
        <v>0</v>
      </c>
      <c r="AZ9" s="91">
        <v>6</v>
      </c>
      <c r="BA9" s="91">
        <v>6</v>
      </c>
      <c r="BB9" s="91">
        <f t="shared" ref="BB9:BB12" si="27">SUBTOTAL(9,AY9:BA9)</f>
        <v>0</v>
      </c>
      <c r="BC9" s="92">
        <v>0</v>
      </c>
      <c r="BD9" s="92">
        <v>0</v>
      </c>
      <c r="BE9" s="92">
        <v>0</v>
      </c>
      <c r="BF9" s="92">
        <v>0</v>
      </c>
      <c r="BG9" s="92">
        <v>0</v>
      </c>
      <c r="BH9" s="92">
        <v>0</v>
      </c>
      <c r="BI9" s="150">
        <v>0</v>
      </c>
      <c r="BJ9" s="271" t="s">
        <v>527</v>
      </c>
      <c r="BK9" s="178"/>
      <c r="BL9" s="178"/>
      <c r="BM9" s="178"/>
      <c r="BN9" s="178"/>
      <c r="BO9" s="154" t="s">
        <v>407</v>
      </c>
      <c r="BP9" s="154" t="s">
        <v>587</v>
      </c>
      <c r="BQ9" s="212"/>
      <c r="BR9" s="155"/>
      <c r="BS9" s="212"/>
      <c r="BT9" s="143">
        <v>26110174</v>
      </c>
      <c r="BU9" s="213"/>
      <c r="BV9" s="213"/>
      <c r="BW9" s="177"/>
      <c r="BX9" s="177"/>
      <c r="BY9" s="315">
        <v>0</v>
      </c>
      <c r="BZ9" s="315">
        <v>0</v>
      </c>
      <c r="CA9" s="192"/>
      <c r="CB9" s="104"/>
      <c r="CC9" s="272"/>
      <c r="CD9" s="21">
        <v>44377</v>
      </c>
      <c r="CE9" s="22" t="str">
        <f t="shared" si="12"/>
        <v>5. Fortale</v>
      </c>
      <c r="CF9" s="22" t="str">
        <f t="shared" si="13"/>
        <v>1. Contribuir al desarrollo de los pueblos indígenas en los resguardos de la zona de influencia medi</v>
      </c>
      <c r="CG9" s="22" t="str">
        <f t="shared" si="14"/>
        <v xml:space="preserve">1.2 Acciones implementadas definidas en el CONPES 3667 de 2010 </v>
      </c>
      <c r="CH9" s="22" t="str">
        <f t="shared" si="15"/>
        <v xml:space="preserve">Resultado </v>
      </c>
      <c r="CI9" s="22" t="str">
        <f t="shared" si="16"/>
        <v>Producto</v>
      </c>
      <c r="CJ9" s="273" t="str">
        <f t="shared" si="17"/>
        <v/>
      </c>
      <c r="CK9" s="273" t="str">
        <f t="shared" si="18"/>
        <v/>
      </c>
      <c r="CL9" s="273">
        <f t="shared" ref="CL9:CL26" si="28">+IFERROR(IF(CG9&lt;&gt;CG8,IF(BY9/(COUNTIF(CF:CF,CF9))&gt;1,1.00001,BY9/(COUNTIF(CF:CF,CF9))),""),0)</f>
        <v>0</v>
      </c>
      <c r="CM9" s="273">
        <f t="shared" ref="CM9:CM26" si="29">+IFERROR(IF(CG9&lt;&gt;CG8,IF(BZ9/(COUNTIF(CF:CF,CF9))&gt;1,1.00001,BZ9/(COUNTIF(CF:CF,CF9))),""),0)</f>
        <v>0</v>
      </c>
      <c r="CN9" s="23"/>
      <c r="CO9" s="273">
        <f t="shared" si="21"/>
        <v>0.328125</v>
      </c>
      <c r="CP9" s="273">
        <f t="shared" si="22"/>
        <v>0.36547794117647059</v>
      </c>
      <c r="CQ9" s="273">
        <f t="shared" si="23"/>
        <v>0.328125</v>
      </c>
      <c r="CR9" s="273">
        <f t="shared" si="24"/>
        <v>0.36547794117647059</v>
      </c>
      <c r="CS9" s="273">
        <f t="shared" si="25"/>
        <v>0.5</v>
      </c>
      <c r="CT9" s="273" t="str">
        <f t="shared" si="26"/>
        <v/>
      </c>
      <c r="CU9" s="273">
        <f t="shared" ref="CU9:CU71" si="30">+IFERROR(IF(CG9&lt;&gt;CG8,IF(OR(BY9="No aplica, no hay meta",BY9="No aplica"),"",IF(ISTEXT(BY9)=TRUE,0,IF(BY9&gt;1,1.00001,BY9))),""),0)</f>
        <v>0</v>
      </c>
      <c r="CV9" s="25">
        <f t="shared" ref="CV9:CV39" si="31">+IFERROR(IF(CG9&lt;&gt;CG8,IF(OR(BZ9="No aplica, no hay meta",BZ9="No aplica"),"",IF(ISTEXT(BZ9)=TRUE,0,IF(BZ9&gt;1,1.00001,BZ9))),""),0)</f>
        <v>0</v>
      </c>
    </row>
    <row r="10" spans="1:101" s="274" customFormat="1" ht="117.75" hidden="1" customHeight="1" x14ac:dyDescent="0.2">
      <c r="A10" s="167" t="s">
        <v>11</v>
      </c>
      <c r="B10" s="22" t="s">
        <v>227</v>
      </c>
      <c r="C10" s="22" t="s">
        <v>68</v>
      </c>
      <c r="D10" s="22" t="s">
        <v>68</v>
      </c>
      <c r="E10" s="22" t="s">
        <v>68</v>
      </c>
      <c r="F10" s="22" t="s">
        <v>68</v>
      </c>
      <c r="G10" s="22" t="s">
        <v>69</v>
      </c>
      <c r="H10" s="90" t="s">
        <v>252</v>
      </c>
      <c r="I10" s="90" t="s">
        <v>255</v>
      </c>
      <c r="J10" s="90" t="s">
        <v>181</v>
      </c>
      <c r="K10" s="90" t="s">
        <v>205</v>
      </c>
      <c r="L10" s="22" t="s">
        <v>76</v>
      </c>
      <c r="M10" s="22" t="s">
        <v>71</v>
      </c>
      <c r="N10" s="94">
        <v>0.1</v>
      </c>
      <c r="O10" s="94">
        <v>0</v>
      </c>
      <c r="P10" s="94">
        <v>0.1</v>
      </c>
      <c r="Q10" s="94">
        <v>0.2</v>
      </c>
      <c r="R10" s="94">
        <v>0.7</v>
      </c>
      <c r="S10" s="94">
        <v>1</v>
      </c>
      <c r="T10" s="22" t="s">
        <v>77</v>
      </c>
      <c r="U10" s="94">
        <v>0</v>
      </c>
      <c r="V10" s="94">
        <v>0</v>
      </c>
      <c r="W10" s="94">
        <v>0</v>
      </c>
      <c r="X10" s="94">
        <v>0</v>
      </c>
      <c r="Y10" s="95">
        <v>0.1</v>
      </c>
      <c r="Z10" s="95">
        <v>0.1</v>
      </c>
      <c r="AA10" s="156">
        <v>0</v>
      </c>
      <c r="AB10" s="275"/>
      <c r="AC10" s="179"/>
      <c r="AD10" s="179"/>
      <c r="AE10" s="180"/>
      <c r="AF10" s="180"/>
      <c r="AG10" s="104" t="s">
        <v>431</v>
      </c>
      <c r="AH10" s="104" t="s">
        <v>588</v>
      </c>
      <c r="AI10" s="192"/>
      <c r="AJ10" s="192"/>
      <c r="AK10" s="192"/>
      <c r="AL10" s="193"/>
      <c r="AM10" s="103">
        <v>0</v>
      </c>
      <c r="AN10" s="103">
        <v>0.1</v>
      </c>
      <c r="AO10" s="109" t="s">
        <v>273</v>
      </c>
      <c r="AP10" s="109" t="s">
        <v>193</v>
      </c>
      <c r="AQ10" s="90" t="s">
        <v>470</v>
      </c>
      <c r="AR10" s="22" t="s">
        <v>8</v>
      </c>
      <c r="AS10" s="22" t="s">
        <v>104</v>
      </c>
      <c r="AT10" s="110" t="s">
        <v>101</v>
      </c>
      <c r="AU10" s="22" t="s">
        <v>77</v>
      </c>
      <c r="AV10" s="21">
        <v>43831</v>
      </c>
      <c r="AW10" s="21">
        <v>44926</v>
      </c>
      <c r="AX10" s="92">
        <v>0</v>
      </c>
      <c r="AY10" s="94">
        <v>1</v>
      </c>
      <c r="AZ10" s="94">
        <v>1</v>
      </c>
      <c r="BA10" s="94">
        <v>1</v>
      </c>
      <c r="BB10" s="94">
        <v>1</v>
      </c>
      <c r="BC10" s="92">
        <v>0</v>
      </c>
      <c r="BD10" s="92">
        <v>0</v>
      </c>
      <c r="BE10" s="92">
        <v>0</v>
      </c>
      <c r="BF10" s="92">
        <v>0</v>
      </c>
      <c r="BG10" s="94">
        <v>0.78</v>
      </c>
      <c r="BH10" s="94">
        <v>0.78</v>
      </c>
      <c r="BI10" s="150">
        <v>0</v>
      </c>
      <c r="BJ10" s="275" t="s">
        <v>527</v>
      </c>
      <c r="BK10" s="235"/>
      <c r="BL10" s="235"/>
      <c r="BM10" s="236"/>
      <c r="BN10" s="236"/>
      <c r="BO10" s="154" t="s">
        <v>408</v>
      </c>
      <c r="BP10" s="154" t="s">
        <v>589</v>
      </c>
      <c r="BQ10" s="212"/>
      <c r="BR10" s="155"/>
      <c r="BS10" s="212"/>
      <c r="BT10" s="143">
        <v>15919927553.799999</v>
      </c>
      <c r="BU10" s="213"/>
      <c r="BV10" s="213"/>
      <c r="BW10" s="177"/>
      <c r="BX10" s="177"/>
      <c r="BY10" s="315">
        <v>0</v>
      </c>
      <c r="BZ10" s="315">
        <v>0.39</v>
      </c>
      <c r="CA10" s="192"/>
      <c r="CB10" s="104"/>
      <c r="CC10" s="272"/>
      <c r="CD10" s="21">
        <v>44377</v>
      </c>
      <c r="CE10" s="22" t="str">
        <f t="shared" si="12"/>
        <v>5. Fortale</v>
      </c>
      <c r="CF10" s="22" t="str">
        <f t="shared" si="13"/>
        <v>2. Disminuir las condiciones de riesgo por flujo de lodo existentes para población en el Cañón del r</v>
      </c>
      <c r="CG10" s="22" t="str">
        <f t="shared" si="14"/>
        <v xml:space="preserve">2.1 Acciones implementadas definidas en el CONPES 3667 de 2010 </v>
      </c>
      <c r="CH10" s="22" t="str">
        <f t="shared" si="15"/>
        <v xml:space="preserve">Producto </v>
      </c>
      <c r="CI10" s="22" t="str">
        <f t="shared" si="16"/>
        <v>Producto</v>
      </c>
      <c r="CJ10" s="273" t="str">
        <f t="shared" si="17"/>
        <v/>
      </c>
      <c r="CK10" s="273">
        <f t="shared" si="18"/>
        <v>0</v>
      </c>
      <c r="CL10" s="273">
        <f t="shared" si="28"/>
        <v>0</v>
      </c>
      <c r="CM10" s="273">
        <f t="shared" si="29"/>
        <v>7.8E-2</v>
      </c>
      <c r="CN10" s="23"/>
      <c r="CO10" s="273">
        <f t="shared" si="21"/>
        <v>0.328125</v>
      </c>
      <c r="CP10" s="273">
        <f t="shared" si="22"/>
        <v>0.36547794117647059</v>
      </c>
      <c r="CQ10" s="273">
        <f t="shared" si="23"/>
        <v>0.328125</v>
      </c>
      <c r="CR10" s="273">
        <f t="shared" si="24"/>
        <v>0.36547794117647059</v>
      </c>
      <c r="CS10" s="273">
        <f t="shared" si="25"/>
        <v>0.32500000000000001</v>
      </c>
      <c r="CT10" s="273">
        <f t="shared" si="26"/>
        <v>0</v>
      </c>
      <c r="CU10" s="273">
        <f t="shared" si="30"/>
        <v>0</v>
      </c>
      <c r="CV10" s="25">
        <f t="shared" si="31"/>
        <v>0.39</v>
      </c>
    </row>
    <row r="11" spans="1:101" s="274" customFormat="1" ht="119.25" hidden="1" customHeight="1" x14ac:dyDescent="0.2">
      <c r="A11" s="167" t="s">
        <v>11</v>
      </c>
      <c r="B11" s="22" t="s">
        <v>227</v>
      </c>
      <c r="C11" s="22" t="s">
        <v>68</v>
      </c>
      <c r="D11" s="22" t="s">
        <v>68</v>
      </c>
      <c r="E11" s="22" t="s">
        <v>68</v>
      </c>
      <c r="F11" s="22" t="s">
        <v>68</v>
      </c>
      <c r="G11" s="22" t="s">
        <v>69</v>
      </c>
      <c r="H11" s="90" t="s">
        <v>252</v>
      </c>
      <c r="I11" s="90" t="s">
        <v>255</v>
      </c>
      <c r="J11" s="90" t="s">
        <v>181</v>
      </c>
      <c r="K11" s="90" t="s">
        <v>205</v>
      </c>
      <c r="L11" s="22" t="s">
        <v>76</v>
      </c>
      <c r="M11" s="22" t="s">
        <v>71</v>
      </c>
      <c r="N11" s="94">
        <v>0.1</v>
      </c>
      <c r="O11" s="94">
        <v>0</v>
      </c>
      <c r="P11" s="94">
        <v>0.1</v>
      </c>
      <c r="Q11" s="94">
        <v>0.2</v>
      </c>
      <c r="R11" s="94">
        <v>0.7</v>
      </c>
      <c r="S11" s="94">
        <v>1</v>
      </c>
      <c r="T11" s="22" t="s">
        <v>77</v>
      </c>
      <c r="U11" s="94"/>
      <c r="V11" s="94"/>
      <c r="W11" s="94"/>
      <c r="X11" s="94"/>
      <c r="Y11" s="94"/>
      <c r="Z11" s="94"/>
      <c r="AA11" s="156"/>
      <c r="AB11" s="275"/>
      <c r="AC11" s="158"/>
      <c r="AD11" s="158"/>
      <c r="AE11" s="157"/>
      <c r="AF11" s="157"/>
      <c r="AG11" s="104"/>
      <c r="AH11" s="104"/>
      <c r="AI11" s="133"/>
      <c r="AJ11" s="133"/>
      <c r="AK11" s="133"/>
      <c r="AL11" s="153"/>
      <c r="AM11" s="103" t="s">
        <v>584</v>
      </c>
      <c r="AN11" s="103" t="s">
        <v>584</v>
      </c>
      <c r="AO11" s="109" t="s">
        <v>274</v>
      </c>
      <c r="AP11" s="109" t="s">
        <v>78</v>
      </c>
      <c r="AQ11" s="90" t="s">
        <v>139</v>
      </c>
      <c r="AR11" s="22" t="s">
        <v>8</v>
      </c>
      <c r="AS11" s="22" t="s">
        <v>71</v>
      </c>
      <c r="AT11" s="110" t="s">
        <v>101</v>
      </c>
      <c r="AU11" s="91" t="s">
        <v>72</v>
      </c>
      <c r="AV11" s="21">
        <v>43831</v>
      </c>
      <c r="AW11" s="21">
        <v>44926</v>
      </c>
      <c r="AX11" s="92">
        <v>0</v>
      </c>
      <c r="AY11" s="91">
        <v>1</v>
      </c>
      <c r="AZ11" s="91">
        <v>1</v>
      </c>
      <c r="BA11" s="91">
        <v>1</v>
      </c>
      <c r="BB11" s="91">
        <f t="shared" si="27"/>
        <v>0</v>
      </c>
      <c r="BC11" s="92">
        <v>0</v>
      </c>
      <c r="BD11" s="92">
        <v>0</v>
      </c>
      <c r="BE11" s="91">
        <v>1</v>
      </c>
      <c r="BF11" s="92">
        <v>0</v>
      </c>
      <c r="BG11" s="92">
        <v>0</v>
      </c>
      <c r="BH11" s="91">
        <v>1</v>
      </c>
      <c r="BI11" s="150">
        <v>0</v>
      </c>
      <c r="BJ11" s="271" t="s">
        <v>527</v>
      </c>
      <c r="BK11" s="178"/>
      <c r="BL11" s="178"/>
      <c r="BM11" s="178"/>
      <c r="BN11" s="178"/>
      <c r="BO11" s="154" t="s">
        <v>409</v>
      </c>
      <c r="BP11" s="154" t="s">
        <v>528</v>
      </c>
      <c r="BQ11" s="212"/>
      <c r="BR11" s="155"/>
      <c r="BS11" s="212"/>
      <c r="BT11" s="143">
        <f>(12422440*0.3)+(42762027*0.3)</f>
        <v>16555340.1</v>
      </c>
      <c r="BU11" s="213"/>
      <c r="BV11" s="213"/>
      <c r="BW11" s="177"/>
      <c r="BX11" s="177"/>
      <c r="BY11" s="315">
        <v>0</v>
      </c>
      <c r="BZ11" s="315">
        <v>0.33333333333333331</v>
      </c>
      <c r="CA11" s="192"/>
      <c r="CB11" s="104"/>
      <c r="CC11" s="272"/>
      <c r="CD11" s="21">
        <v>44377</v>
      </c>
      <c r="CE11" s="22" t="str">
        <f t="shared" si="12"/>
        <v>5. Fortale</v>
      </c>
      <c r="CF11" s="22" t="str">
        <f t="shared" si="13"/>
        <v>2. Disminuir las condiciones de riesgo por flujo de lodo existentes para población en el Cañón del r</v>
      </c>
      <c r="CG11" s="22" t="str">
        <f t="shared" si="14"/>
        <v>2.2 Proyectos de inversión para el desarrollo de los pueblos indígenas formulados.</v>
      </c>
      <c r="CH11" s="22" t="str">
        <f t="shared" si="15"/>
        <v xml:space="preserve">Producto </v>
      </c>
      <c r="CI11" s="22" t="str">
        <f t="shared" si="16"/>
        <v>Producto</v>
      </c>
      <c r="CJ11" s="273" t="str">
        <f t="shared" si="17"/>
        <v/>
      </c>
      <c r="CK11" s="273" t="str">
        <f t="shared" si="18"/>
        <v/>
      </c>
      <c r="CL11" s="273">
        <f t="shared" si="28"/>
        <v>0</v>
      </c>
      <c r="CM11" s="273">
        <f t="shared" si="29"/>
        <v>6.6666666666666666E-2</v>
      </c>
      <c r="CN11" s="23"/>
      <c r="CO11" s="273">
        <f t="shared" si="21"/>
        <v>0.328125</v>
      </c>
      <c r="CP11" s="273">
        <f t="shared" si="22"/>
        <v>0.36547794117647059</v>
      </c>
      <c r="CQ11" s="273">
        <f t="shared" si="23"/>
        <v>0.328125</v>
      </c>
      <c r="CR11" s="273">
        <f t="shared" si="24"/>
        <v>0.36547794117647059</v>
      </c>
      <c r="CS11" s="273">
        <f t="shared" si="25"/>
        <v>0.32500000000000001</v>
      </c>
      <c r="CT11" s="273" t="str">
        <f t="shared" si="26"/>
        <v/>
      </c>
      <c r="CU11" s="273">
        <f t="shared" si="30"/>
        <v>0</v>
      </c>
      <c r="CV11" s="25">
        <f t="shared" si="31"/>
        <v>0.33333333333333331</v>
      </c>
    </row>
    <row r="12" spans="1:101" s="274" customFormat="1" ht="112.5" hidden="1" customHeight="1" x14ac:dyDescent="0.2">
      <c r="A12" s="167" t="s">
        <v>11</v>
      </c>
      <c r="B12" s="22" t="s">
        <v>227</v>
      </c>
      <c r="C12" s="22" t="s">
        <v>68</v>
      </c>
      <c r="D12" s="22" t="s">
        <v>68</v>
      </c>
      <c r="E12" s="22" t="s">
        <v>68</v>
      </c>
      <c r="F12" s="22" t="s">
        <v>68</v>
      </c>
      <c r="G12" s="22" t="s">
        <v>69</v>
      </c>
      <c r="H12" s="90" t="s">
        <v>252</v>
      </c>
      <c r="I12" s="90" t="s">
        <v>255</v>
      </c>
      <c r="J12" s="90" t="s">
        <v>181</v>
      </c>
      <c r="K12" s="90" t="s">
        <v>205</v>
      </c>
      <c r="L12" s="22" t="s">
        <v>76</v>
      </c>
      <c r="M12" s="22" t="s">
        <v>71</v>
      </c>
      <c r="N12" s="94">
        <v>0.1</v>
      </c>
      <c r="O12" s="94">
        <v>0</v>
      </c>
      <c r="P12" s="94">
        <v>0.1</v>
      </c>
      <c r="Q12" s="94">
        <v>0.2</v>
      </c>
      <c r="R12" s="94">
        <v>0.7</v>
      </c>
      <c r="S12" s="94">
        <v>1</v>
      </c>
      <c r="T12" s="22" t="s">
        <v>77</v>
      </c>
      <c r="U12" s="94"/>
      <c r="V12" s="94"/>
      <c r="W12" s="94"/>
      <c r="X12" s="94"/>
      <c r="Y12" s="94"/>
      <c r="Z12" s="94"/>
      <c r="AA12" s="159"/>
      <c r="AB12" s="275"/>
      <c r="AC12" s="160"/>
      <c r="AD12" s="160"/>
      <c r="AE12" s="157"/>
      <c r="AF12" s="157"/>
      <c r="AG12" s="104"/>
      <c r="AH12" s="104"/>
      <c r="AI12" s="133"/>
      <c r="AJ12" s="133"/>
      <c r="AK12" s="133"/>
      <c r="AL12" s="153"/>
      <c r="AM12" s="103" t="s">
        <v>584</v>
      </c>
      <c r="AN12" s="103" t="s">
        <v>584</v>
      </c>
      <c r="AO12" s="109" t="s">
        <v>275</v>
      </c>
      <c r="AP12" s="109" t="s">
        <v>168</v>
      </c>
      <c r="AQ12" s="90" t="s">
        <v>79</v>
      </c>
      <c r="AR12" s="22" t="s">
        <v>8</v>
      </c>
      <c r="AS12" s="22" t="s">
        <v>71</v>
      </c>
      <c r="AT12" s="110" t="s">
        <v>101</v>
      </c>
      <c r="AU12" s="91" t="s">
        <v>72</v>
      </c>
      <c r="AV12" s="21">
        <v>43831</v>
      </c>
      <c r="AW12" s="21">
        <v>44926</v>
      </c>
      <c r="AX12" s="92">
        <v>0</v>
      </c>
      <c r="AY12" s="91">
        <v>10</v>
      </c>
      <c r="AZ12" s="91">
        <v>12</v>
      </c>
      <c r="BA12" s="91">
        <v>12</v>
      </c>
      <c r="BB12" s="91">
        <f t="shared" si="27"/>
        <v>0</v>
      </c>
      <c r="BC12" s="92">
        <v>0</v>
      </c>
      <c r="BD12" s="91">
        <v>2</v>
      </c>
      <c r="BE12" s="91">
        <v>3</v>
      </c>
      <c r="BF12" s="91">
        <v>8</v>
      </c>
      <c r="BG12" s="91">
        <v>10</v>
      </c>
      <c r="BH12" s="91">
        <v>10</v>
      </c>
      <c r="BI12" s="161">
        <v>3</v>
      </c>
      <c r="BJ12" s="271">
        <v>6</v>
      </c>
      <c r="BK12" s="178"/>
      <c r="BL12" s="178"/>
      <c r="BM12" s="178"/>
      <c r="BN12" s="178"/>
      <c r="BO12" s="154" t="s">
        <v>410</v>
      </c>
      <c r="BP12" s="154" t="s">
        <v>590</v>
      </c>
      <c r="BQ12" s="212"/>
      <c r="BR12" s="155"/>
      <c r="BS12" s="212"/>
      <c r="BT12" s="143">
        <f>42762027*0.3</f>
        <v>12828608.1</v>
      </c>
      <c r="BU12" s="213"/>
      <c r="BV12" s="213"/>
      <c r="BW12" s="177"/>
      <c r="BX12" s="177"/>
      <c r="BY12" s="315">
        <v>0.75</v>
      </c>
      <c r="BZ12" s="315">
        <v>0.55882352941176472</v>
      </c>
      <c r="CA12" s="192"/>
      <c r="CB12" s="104"/>
      <c r="CC12" s="272"/>
      <c r="CD12" s="21">
        <v>44377</v>
      </c>
      <c r="CE12" s="22" t="str">
        <f t="shared" si="12"/>
        <v>5. Fortale</v>
      </c>
      <c r="CF12" s="22" t="str">
        <f t="shared" si="13"/>
        <v>2. Disminuir las condiciones de riesgo por flujo de lodo existentes para población en el Cañón del r</v>
      </c>
      <c r="CG12" s="22" t="str">
        <f t="shared" si="14"/>
        <v>2.3 Presentación, ejecución y seguimiento de proyectos.</v>
      </c>
      <c r="CH12" s="22" t="str">
        <f t="shared" si="15"/>
        <v xml:space="preserve">Producto </v>
      </c>
      <c r="CI12" s="22" t="str">
        <f t="shared" si="16"/>
        <v>Producto</v>
      </c>
      <c r="CJ12" s="273" t="str">
        <f t="shared" si="17"/>
        <v/>
      </c>
      <c r="CK12" s="273" t="str">
        <f t="shared" si="18"/>
        <v/>
      </c>
      <c r="CL12" s="273">
        <f t="shared" si="28"/>
        <v>0.15</v>
      </c>
      <c r="CM12" s="273">
        <f t="shared" si="29"/>
        <v>0.11176470588235295</v>
      </c>
      <c r="CN12" s="23"/>
      <c r="CO12" s="273">
        <f t="shared" si="21"/>
        <v>0.328125</v>
      </c>
      <c r="CP12" s="273">
        <f t="shared" si="22"/>
        <v>0.36547794117647059</v>
      </c>
      <c r="CQ12" s="273">
        <f t="shared" si="23"/>
        <v>0.328125</v>
      </c>
      <c r="CR12" s="273">
        <f t="shared" si="24"/>
        <v>0.36547794117647059</v>
      </c>
      <c r="CS12" s="273">
        <f t="shared" si="25"/>
        <v>0.32500000000000001</v>
      </c>
      <c r="CT12" s="273" t="str">
        <f t="shared" si="26"/>
        <v/>
      </c>
      <c r="CU12" s="273">
        <f t="shared" si="30"/>
        <v>0.75</v>
      </c>
      <c r="CV12" s="25">
        <f t="shared" si="31"/>
        <v>0.55882352941176472</v>
      </c>
    </row>
    <row r="13" spans="1:101" s="274" customFormat="1" ht="86.1" hidden="1" customHeight="1" x14ac:dyDescent="0.2">
      <c r="A13" s="167" t="s">
        <v>11</v>
      </c>
      <c r="B13" s="22" t="s">
        <v>227</v>
      </c>
      <c r="C13" s="22" t="s">
        <v>68</v>
      </c>
      <c r="D13" s="22" t="s">
        <v>68</v>
      </c>
      <c r="E13" s="22" t="s">
        <v>68</v>
      </c>
      <c r="F13" s="22" t="s">
        <v>68</v>
      </c>
      <c r="G13" s="22" t="s">
        <v>69</v>
      </c>
      <c r="H13" s="90" t="s">
        <v>252</v>
      </c>
      <c r="I13" s="90" t="s">
        <v>255</v>
      </c>
      <c r="J13" s="90" t="s">
        <v>181</v>
      </c>
      <c r="K13" s="90" t="s">
        <v>205</v>
      </c>
      <c r="L13" s="22" t="s">
        <v>76</v>
      </c>
      <c r="M13" s="22" t="s">
        <v>71</v>
      </c>
      <c r="N13" s="94">
        <v>0.1</v>
      </c>
      <c r="O13" s="94">
        <v>0</v>
      </c>
      <c r="P13" s="94">
        <v>0.1</v>
      </c>
      <c r="Q13" s="94">
        <v>0.2</v>
      </c>
      <c r="R13" s="94">
        <v>0.7</v>
      </c>
      <c r="S13" s="94">
        <v>1</v>
      </c>
      <c r="T13" s="22" t="s">
        <v>77</v>
      </c>
      <c r="U13" s="94"/>
      <c r="V13" s="94"/>
      <c r="W13" s="94"/>
      <c r="X13" s="94"/>
      <c r="Y13" s="94"/>
      <c r="Z13" s="94"/>
      <c r="AA13" s="156"/>
      <c r="AB13" s="275"/>
      <c r="AC13" s="158"/>
      <c r="AD13" s="158"/>
      <c r="AE13" s="157"/>
      <c r="AF13" s="157"/>
      <c r="AG13" s="104"/>
      <c r="AH13" s="104"/>
      <c r="AI13" s="133"/>
      <c r="AJ13" s="133"/>
      <c r="AK13" s="133"/>
      <c r="AL13" s="162"/>
      <c r="AM13" s="103" t="s">
        <v>584</v>
      </c>
      <c r="AN13" s="103" t="s">
        <v>584</v>
      </c>
      <c r="AO13" s="109" t="s">
        <v>276</v>
      </c>
      <c r="AP13" s="109" t="s">
        <v>194</v>
      </c>
      <c r="AQ13" s="90" t="s">
        <v>195</v>
      </c>
      <c r="AR13" s="22" t="s">
        <v>8</v>
      </c>
      <c r="AS13" s="22" t="s">
        <v>104</v>
      </c>
      <c r="AT13" s="110" t="s">
        <v>101</v>
      </c>
      <c r="AU13" s="22" t="s">
        <v>77</v>
      </c>
      <c r="AV13" s="21">
        <v>43831</v>
      </c>
      <c r="AW13" s="21">
        <v>44926</v>
      </c>
      <c r="AX13" s="94">
        <v>0</v>
      </c>
      <c r="AY13" s="94">
        <v>1</v>
      </c>
      <c r="AZ13" s="94">
        <v>1</v>
      </c>
      <c r="BA13" s="94">
        <v>1</v>
      </c>
      <c r="BB13" s="94">
        <v>1</v>
      </c>
      <c r="BC13" s="94">
        <v>0</v>
      </c>
      <c r="BD13" s="94">
        <f>3/8</f>
        <v>0.375</v>
      </c>
      <c r="BE13" s="94">
        <v>0.88</v>
      </c>
      <c r="BF13" s="94">
        <v>1</v>
      </c>
      <c r="BG13" s="94">
        <v>1</v>
      </c>
      <c r="BH13" s="94">
        <v>1</v>
      </c>
      <c r="BI13" s="156">
        <f>7/8</f>
        <v>0.875</v>
      </c>
      <c r="BJ13" s="275">
        <f>+(7/8)</f>
        <v>0.875</v>
      </c>
      <c r="BK13" s="179"/>
      <c r="BL13" s="179"/>
      <c r="BM13" s="180"/>
      <c r="BN13" s="180"/>
      <c r="BO13" s="154" t="s">
        <v>402</v>
      </c>
      <c r="BP13" s="154" t="s">
        <v>529</v>
      </c>
      <c r="BQ13" s="212"/>
      <c r="BR13" s="155"/>
      <c r="BS13" s="212"/>
      <c r="BT13" s="143">
        <f>+(3773120+3773120+3773120+3773120+2454704+3515570+3515570)</f>
        <v>24578324</v>
      </c>
      <c r="BU13" s="213"/>
      <c r="BV13" s="213"/>
      <c r="BW13" s="177"/>
      <c r="BX13" s="177"/>
      <c r="BY13" s="315">
        <v>0.875</v>
      </c>
      <c r="BZ13" s="315">
        <v>0.875</v>
      </c>
      <c r="CA13" s="192"/>
      <c r="CB13" s="104"/>
      <c r="CC13" s="272"/>
      <c r="CD13" s="21">
        <v>44377</v>
      </c>
      <c r="CE13" s="22" t="str">
        <f t="shared" si="12"/>
        <v>5. Fortale</v>
      </c>
      <c r="CF13" s="22" t="str">
        <f t="shared" si="13"/>
        <v>2. Disminuir las condiciones de riesgo por flujo de lodo existentes para población en el Cañón del r</v>
      </c>
      <c r="CG13" s="22" t="str">
        <f t="shared" si="14"/>
        <v>2.4 Mecanismos implementados para el seguimiento y cumplimiento de compromisos.</v>
      </c>
      <c r="CH13" s="22" t="str">
        <f t="shared" si="15"/>
        <v xml:space="preserve">Producto </v>
      </c>
      <c r="CI13" s="22" t="str">
        <f t="shared" si="16"/>
        <v>Producto</v>
      </c>
      <c r="CJ13" s="273" t="str">
        <f t="shared" si="17"/>
        <v/>
      </c>
      <c r="CK13" s="273" t="str">
        <f t="shared" si="18"/>
        <v/>
      </c>
      <c r="CL13" s="273">
        <f t="shared" si="28"/>
        <v>0.17499999999999999</v>
      </c>
      <c r="CM13" s="273">
        <f t="shared" si="29"/>
        <v>0.17499999999999999</v>
      </c>
      <c r="CN13" s="23"/>
      <c r="CO13" s="273">
        <f t="shared" si="21"/>
        <v>0.328125</v>
      </c>
      <c r="CP13" s="273">
        <f t="shared" si="22"/>
        <v>0.36547794117647059</v>
      </c>
      <c r="CQ13" s="273">
        <f t="shared" si="23"/>
        <v>0.328125</v>
      </c>
      <c r="CR13" s="273">
        <f t="shared" si="24"/>
        <v>0.36547794117647059</v>
      </c>
      <c r="CS13" s="273">
        <f t="shared" si="25"/>
        <v>0.32500000000000001</v>
      </c>
      <c r="CT13" s="273" t="str">
        <f t="shared" si="26"/>
        <v/>
      </c>
      <c r="CU13" s="273">
        <f t="shared" si="30"/>
        <v>0.875</v>
      </c>
      <c r="CV13" s="25">
        <f t="shared" si="31"/>
        <v>0.875</v>
      </c>
    </row>
    <row r="14" spans="1:101" s="274" customFormat="1" ht="120" hidden="1" customHeight="1" x14ac:dyDescent="0.2">
      <c r="A14" s="167" t="s">
        <v>11</v>
      </c>
      <c r="B14" s="22" t="s">
        <v>227</v>
      </c>
      <c r="C14" s="22" t="s">
        <v>68</v>
      </c>
      <c r="D14" s="22" t="s">
        <v>68</v>
      </c>
      <c r="E14" s="22" t="s">
        <v>68</v>
      </c>
      <c r="F14" s="22" t="s">
        <v>68</v>
      </c>
      <c r="G14" s="22" t="s">
        <v>69</v>
      </c>
      <c r="H14" s="90" t="s">
        <v>252</v>
      </c>
      <c r="I14" s="90" t="s">
        <v>255</v>
      </c>
      <c r="J14" s="90" t="s">
        <v>181</v>
      </c>
      <c r="K14" s="90" t="s">
        <v>205</v>
      </c>
      <c r="L14" s="22" t="s">
        <v>76</v>
      </c>
      <c r="M14" s="22" t="s">
        <v>71</v>
      </c>
      <c r="N14" s="94">
        <v>0.1</v>
      </c>
      <c r="O14" s="94">
        <v>0</v>
      </c>
      <c r="P14" s="94">
        <v>0.1</v>
      </c>
      <c r="Q14" s="94">
        <v>0.2</v>
      </c>
      <c r="R14" s="94">
        <v>0.7</v>
      </c>
      <c r="S14" s="94">
        <v>1</v>
      </c>
      <c r="T14" s="22" t="s">
        <v>77</v>
      </c>
      <c r="U14" s="94"/>
      <c r="V14" s="94"/>
      <c r="W14" s="94"/>
      <c r="X14" s="94"/>
      <c r="Y14" s="94"/>
      <c r="Z14" s="94"/>
      <c r="AA14" s="150"/>
      <c r="AB14" s="275"/>
      <c r="AC14" s="152"/>
      <c r="AD14" s="152"/>
      <c r="AE14" s="157"/>
      <c r="AF14" s="157"/>
      <c r="AG14" s="104"/>
      <c r="AH14" s="104"/>
      <c r="AI14" s="133"/>
      <c r="AJ14" s="133"/>
      <c r="AK14" s="133"/>
      <c r="AL14" s="153"/>
      <c r="AM14" s="103" t="s">
        <v>584</v>
      </c>
      <c r="AN14" s="103" t="s">
        <v>584</v>
      </c>
      <c r="AO14" s="109" t="s">
        <v>365</v>
      </c>
      <c r="AP14" s="109" t="s">
        <v>366</v>
      </c>
      <c r="AQ14" s="90" t="s">
        <v>367</v>
      </c>
      <c r="AR14" s="22" t="s">
        <v>8</v>
      </c>
      <c r="AS14" s="22" t="s">
        <v>71</v>
      </c>
      <c r="AT14" s="110" t="s">
        <v>101</v>
      </c>
      <c r="AU14" s="22" t="s">
        <v>77</v>
      </c>
      <c r="AV14" s="21">
        <v>43831</v>
      </c>
      <c r="AW14" s="21">
        <v>44562</v>
      </c>
      <c r="AX14" s="94">
        <v>0</v>
      </c>
      <c r="AY14" s="94">
        <v>0.1</v>
      </c>
      <c r="AZ14" s="94">
        <v>0.2</v>
      </c>
      <c r="BA14" s="94">
        <v>0.7</v>
      </c>
      <c r="BB14" s="94">
        <v>1</v>
      </c>
      <c r="BC14" s="94">
        <v>0</v>
      </c>
      <c r="BD14" s="94">
        <v>0</v>
      </c>
      <c r="BE14" s="94">
        <v>0</v>
      </c>
      <c r="BF14" s="94">
        <v>0</v>
      </c>
      <c r="BG14" s="95">
        <v>0.1</v>
      </c>
      <c r="BH14" s="95">
        <v>0.1</v>
      </c>
      <c r="BI14" s="94">
        <v>0</v>
      </c>
      <c r="BJ14" s="275" t="s">
        <v>527</v>
      </c>
      <c r="BK14" s="235"/>
      <c r="BL14" s="235"/>
      <c r="BM14" s="236"/>
      <c r="BN14" s="236"/>
      <c r="BO14" s="154" t="s">
        <v>411</v>
      </c>
      <c r="BP14" s="154" t="s">
        <v>530</v>
      </c>
      <c r="BQ14" s="212"/>
      <c r="BR14" s="155"/>
      <c r="BS14" s="212"/>
      <c r="BT14" s="143">
        <f>7000000*6*4*0.2</f>
        <v>33600000</v>
      </c>
      <c r="BU14" s="213"/>
      <c r="BV14" s="213"/>
      <c r="BW14" s="177"/>
      <c r="BX14" s="177"/>
      <c r="BY14" s="315">
        <v>0</v>
      </c>
      <c r="BZ14" s="315">
        <v>0.1</v>
      </c>
      <c r="CA14" s="192"/>
      <c r="CB14" s="104"/>
      <c r="CC14" s="272"/>
      <c r="CD14" s="21">
        <v>44377</v>
      </c>
      <c r="CE14" s="22" t="str">
        <f t="shared" si="12"/>
        <v>5. Fortale</v>
      </c>
      <c r="CF14" s="22" t="str">
        <f t="shared" si="13"/>
        <v>2. Disminuir las condiciones de riesgo por flujo de lodo existentes para población en el Cañón del r</v>
      </c>
      <c r="CG14" s="22" t="str">
        <f t="shared" si="14"/>
        <v>2.5 Avance Matriz PAS de las acciones a cargo de la Corporación Nasa Kiwe</v>
      </c>
      <c r="CH14" s="22" t="str">
        <f t="shared" si="15"/>
        <v xml:space="preserve">Producto </v>
      </c>
      <c r="CI14" s="22" t="str">
        <f t="shared" si="16"/>
        <v>Producto</v>
      </c>
      <c r="CJ14" s="273" t="str">
        <f t="shared" si="17"/>
        <v/>
      </c>
      <c r="CK14" s="273" t="str">
        <f t="shared" si="18"/>
        <v/>
      </c>
      <c r="CL14" s="273">
        <f t="shared" si="28"/>
        <v>0</v>
      </c>
      <c r="CM14" s="273">
        <f t="shared" si="29"/>
        <v>0.02</v>
      </c>
      <c r="CN14" s="23"/>
      <c r="CO14" s="273">
        <f t="shared" si="21"/>
        <v>0.328125</v>
      </c>
      <c r="CP14" s="273">
        <f t="shared" si="22"/>
        <v>0.36547794117647059</v>
      </c>
      <c r="CQ14" s="273">
        <f t="shared" si="23"/>
        <v>0.328125</v>
      </c>
      <c r="CR14" s="273">
        <f t="shared" si="24"/>
        <v>0.36547794117647059</v>
      </c>
      <c r="CS14" s="273">
        <f t="shared" si="25"/>
        <v>0.32500000000000001</v>
      </c>
      <c r="CT14" s="273" t="str">
        <f t="shared" si="26"/>
        <v/>
      </c>
      <c r="CU14" s="273">
        <f t="shared" si="30"/>
        <v>0</v>
      </c>
      <c r="CV14" s="25">
        <f t="shared" si="31"/>
        <v>0.1</v>
      </c>
    </row>
    <row r="15" spans="1:101" s="274" customFormat="1" ht="86.1" hidden="1" customHeight="1" x14ac:dyDescent="0.2">
      <c r="A15" s="167" t="s">
        <v>11</v>
      </c>
      <c r="B15" s="22" t="s">
        <v>227</v>
      </c>
      <c r="C15" s="22" t="s">
        <v>68</v>
      </c>
      <c r="D15" s="22" t="s">
        <v>68</v>
      </c>
      <c r="E15" s="22" t="s">
        <v>68</v>
      </c>
      <c r="F15" s="22" t="s">
        <v>68</v>
      </c>
      <c r="G15" s="22" t="s">
        <v>80</v>
      </c>
      <c r="H15" s="90" t="s">
        <v>252</v>
      </c>
      <c r="I15" s="90" t="s">
        <v>256</v>
      </c>
      <c r="J15" s="90" t="s">
        <v>344</v>
      </c>
      <c r="K15" s="90" t="s">
        <v>204</v>
      </c>
      <c r="L15" s="22" t="s">
        <v>81</v>
      </c>
      <c r="M15" s="22" t="s">
        <v>71</v>
      </c>
      <c r="N15" s="91" t="s">
        <v>101</v>
      </c>
      <c r="O15" s="92">
        <v>0</v>
      </c>
      <c r="P15" s="92">
        <v>0</v>
      </c>
      <c r="Q15" s="91">
        <v>1</v>
      </c>
      <c r="R15" s="92">
        <v>0</v>
      </c>
      <c r="S15" s="91">
        <v>1</v>
      </c>
      <c r="T15" s="22" t="s">
        <v>72</v>
      </c>
      <c r="U15" s="92">
        <v>0</v>
      </c>
      <c r="V15" s="92">
        <v>0</v>
      </c>
      <c r="W15" s="92">
        <v>0</v>
      </c>
      <c r="X15" s="92">
        <v>0</v>
      </c>
      <c r="Y15" s="92">
        <v>0</v>
      </c>
      <c r="Z15" s="92">
        <v>0</v>
      </c>
      <c r="AA15" s="150">
        <v>0</v>
      </c>
      <c r="AB15" s="271"/>
      <c r="AC15" s="152"/>
      <c r="AD15" s="152"/>
      <c r="AE15" s="151"/>
      <c r="AF15" s="151"/>
      <c r="AG15" s="104" t="s">
        <v>471</v>
      </c>
      <c r="AH15" s="104" t="s">
        <v>531</v>
      </c>
      <c r="AI15" s="192"/>
      <c r="AJ15" s="192"/>
      <c r="AK15" s="192"/>
      <c r="AL15" s="193"/>
      <c r="AM15" s="103">
        <v>0</v>
      </c>
      <c r="AN15" s="103">
        <v>0</v>
      </c>
      <c r="AO15" s="109" t="s">
        <v>277</v>
      </c>
      <c r="AP15" s="109" t="s">
        <v>169</v>
      </c>
      <c r="AQ15" s="90" t="s">
        <v>196</v>
      </c>
      <c r="AR15" s="22" t="s">
        <v>9</v>
      </c>
      <c r="AS15" s="22" t="s">
        <v>71</v>
      </c>
      <c r="AT15" s="110" t="s">
        <v>101</v>
      </c>
      <c r="AU15" s="91" t="s">
        <v>72</v>
      </c>
      <c r="AV15" s="21">
        <v>44197</v>
      </c>
      <c r="AW15" s="21">
        <v>44561</v>
      </c>
      <c r="AX15" s="92">
        <v>0</v>
      </c>
      <c r="AY15" s="92">
        <v>0</v>
      </c>
      <c r="AZ15" s="91">
        <v>1</v>
      </c>
      <c r="BA15" s="92">
        <v>0</v>
      </c>
      <c r="BB15" s="91">
        <v>1</v>
      </c>
      <c r="BC15" s="92">
        <v>0</v>
      </c>
      <c r="BD15" s="92">
        <v>0</v>
      </c>
      <c r="BE15" s="92">
        <v>0</v>
      </c>
      <c r="BF15" s="92">
        <v>0</v>
      </c>
      <c r="BG15" s="92">
        <v>0</v>
      </c>
      <c r="BH15" s="92">
        <v>0</v>
      </c>
      <c r="BI15" s="150">
        <v>0</v>
      </c>
      <c r="BJ15" s="271" t="s">
        <v>527</v>
      </c>
      <c r="BK15" s="178"/>
      <c r="BL15" s="178"/>
      <c r="BM15" s="178"/>
      <c r="BN15" s="178"/>
      <c r="BO15" s="154" t="s">
        <v>412</v>
      </c>
      <c r="BP15" s="104" t="s">
        <v>531</v>
      </c>
      <c r="BQ15" s="212"/>
      <c r="BR15" s="155"/>
      <c r="BS15" s="212"/>
      <c r="BT15" s="143">
        <f>7000000*12*0.1*2</f>
        <v>16800000</v>
      </c>
      <c r="BU15" s="213"/>
      <c r="BV15" s="213"/>
      <c r="BW15" s="177"/>
      <c r="BX15" s="177"/>
      <c r="BY15" s="315">
        <v>0</v>
      </c>
      <c r="BZ15" s="315">
        <v>0</v>
      </c>
      <c r="CA15" s="192"/>
      <c r="CB15" s="104"/>
      <c r="CC15" s="272"/>
      <c r="CD15" s="21">
        <v>44377</v>
      </c>
      <c r="CE15" s="22" t="str">
        <f t="shared" si="12"/>
        <v>5. Fortale</v>
      </c>
      <c r="CF15" s="22" t="str">
        <f t="shared" si="13"/>
        <v>3. Ampliar el alcance de las funciones de la Corporación Nasa Kiwe</v>
      </c>
      <c r="CG15" s="22" t="str">
        <f t="shared" si="14"/>
        <v>3.1 Funciones de la Corporación Nasa Kiwe ajustadas</v>
      </c>
      <c r="CH15" s="22" t="str">
        <f t="shared" si="15"/>
        <v xml:space="preserve">Gestión </v>
      </c>
      <c r="CI15" s="22" t="str">
        <f t="shared" si="16"/>
        <v>Gestión</v>
      </c>
      <c r="CJ15" s="273" t="str">
        <f t="shared" si="17"/>
        <v/>
      </c>
      <c r="CK15" s="273">
        <f t="shared" si="18"/>
        <v>0</v>
      </c>
      <c r="CL15" s="273">
        <f t="shared" si="28"/>
        <v>0</v>
      </c>
      <c r="CM15" s="273">
        <f t="shared" si="29"/>
        <v>0</v>
      </c>
      <c r="CN15" s="23"/>
      <c r="CO15" s="273">
        <f t="shared" si="21"/>
        <v>0.328125</v>
      </c>
      <c r="CP15" s="273">
        <f t="shared" si="22"/>
        <v>0.36547794117647059</v>
      </c>
      <c r="CQ15" s="273">
        <f t="shared" si="23"/>
        <v>0.328125</v>
      </c>
      <c r="CR15" s="273">
        <f t="shared" si="24"/>
        <v>0.36547794117647059</v>
      </c>
      <c r="CS15" s="273">
        <f t="shared" si="25"/>
        <v>0</v>
      </c>
      <c r="CT15" s="273">
        <f t="shared" si="26"/>
        <v>0</v>
      </c>
      <c r="CU15" s="273">
        <f t="shared" si="30"/>
        <v>0</v>
      </c>
      <c r="CV15" s="25">
        <f t="shared" si="31"/>
        <v>0</v>
      </c>
    </row>
    <row r="16" spans="1:101" s="274" customFormat="1" ht="122.25" customHeight="1" x14ac:dyDescent="0.2">
      <c r="A16" s="168" t="s">
        <v>12</v>
      </c>
      <c r="B16" s="22" t="s">
        <v>82</v>
      </c>
      <c r="C16" s="22" t="s">
        <v>83</v>
      </c>
      <c r="D16" s="22" t="s">
        <v>68</v>
      </c>
      <c r="E16" s="22" t="s">
        <v>84</v>
      </c>
      <c r="F16" s="22" t="s">
        <v>68</v>
      </c>
      <c r="G16" s="22" t="s">
        <v>222</v>
      </c>
      <c r="H16" s="90" t="s">
        <v>249</v>
      </c>
      <c r="I16" s="90" t="s">
        <v>257</v>
      </c>
      <c r="J16" s="90" t="s">
        <v>85</v>
      </c>
      <c r="K16" s="90" t="s">
        <v>86</v>
      </c>
      <c r="L16" s="22" t="s">
        <v>76</v>
      </c>
      <c r="M16" s="22" t="s">
        <v>71</v>
      </c>
      <c r="N16" s="91">
        <v>226</v>
      </c>
      <c r="O16" s="91">
        <v>350</v>
      </c>
      <c r="P16" s="91">
        <v>350</v>
      </c>
      <c r="Q16" s="91">
        <v>350</v>
      </c>
      <c r="R16" s="91">
        <v>350</v>
      </c>
      <c r="S16" s="91">
        <v>1400</v>
      </c>
      <c r="T16" s="22" t="s">
        <v>72</v>
      </c>
      <c r="U16" s="22">
        <v>133</v>
      </c>
      <c r="V16" s="92">
        <v>0</v>
      </c>
      <c r="W16" s="22">
        <v>841</v>
      </c>
      <c r="X16" s="92">
        <v>0</v>
      </c>
      <c r="Y16" s="92">
        <v>0</v>
      </c>
      <c r="Z16" s="22">
        <v>841</v>
      </c>
      <c r="AA16" s="22">
        <v>1</v>
      </c>
      <c r="AB16" s="108">
        <v>6</v>
      </c>
      <c r="AC16" s="182">
        <v>0</v>
      </c>
      <c r="AD16" s="182"/>
      <c r="AE16" s="182">
        <v>7</v>
      </c>
      <c r="AF16" s="182">
        <v>981</v>
      </c>
      <c r="AG16" s="104" t="s">
        <v>472</v>
      </c>
      <c r="AH16" s="104" t="s">
        <v>591</v>
      </c>
      <c r="AI16" s="192" t="s">
        <v>621</v>
      </c>
      <c r="AJ16" s="192"/>
      <c r="AK16" s="192"/>
      <c r="AL16" s="194" t="s">
        <v>622</v>
      </c>
      <c r="AM16" s="103">
        <v>0.02</v>
      </c>
      <c r="AN16" s="103">
        <v>0.70071428571428573</v>
      </c>
      <c r="AO16" s="109" t="s">
        <v>278</v>
      </c>
      <c r="AP16" s="109" t="s">
        <v>170</v>
      </c>
      <c r="AQ16" s="90" t="s">
        <v>87</v>
      </c>
      <c r="AR16" s="22" t="s">
        <v>8</v>
      </c>
      <c r="AS16" s="22" t="s">
        <v>71</v>
      </c>
      <c r="AT16" s="91">
        <v>243</v>
      </c>
      <c r="AU16" s="91" t="s">
        <v>72</v>
      </c>
      <c r="AV16" s="21">
        <v>43466</v>
      </c>
      <c r="AW16" s="21">
        <v>44926</v>
      </c>
      <c r="AX16" s="91">
        <v>244</v>
      </c>
      <c r="AY16" s="91">
        <v>841</v>
      </c>
      <c r="AZ16" s="91">
        <v>186</v>
      </c>
      <c r="BA16" s="91">
        <v>129</v>
      </c>
      <c r="BB16" s="91">
        <f>SUBTOTAL(9,AX16:BA16)</f>
        <v>1400</v>
      </c>
      <c r="BC16" s="92">
        <v>133</v>
      </c>
      <c r="BD16" s="92">
        <v>0</v>
      </c>
      <c r="BE16" s="91">
        <v>841</v>
      </c>
      <c r="BF16" s="92">
        <v>0</v>
      </c>
      <c r="BG16" s="92">
        <v>0</v>
      </c>
      <c r="BH16" s="91">
        <v>841</v>
      </c>
      <c r="BI16" s="91">
        <v>1</v>
      </c>
      <c r="BJ16" s="108">
        <v>6</v>
      </c>
      <c r="BK16" s="185">
        <v>0</v>
      </c>
      <c r="BL16" s="185"/>
      <c r="BM16" s="182">
        <v>7</v>
      </c>
      <c r="BN16" s="182">
        <v>981</v>
      </c>
      <c r="BO16" s="154" t="s">
        <v>473</v>
      </c>
      <c r="BP16" s="104" t="s">
        <v>592</v>
      </c>
      <c r="BQ16" s="212" t="s">
        <v>621</v>
      </c>
      <c r="BR16" s="155"/>
      <c r="BS16" s="192" t="s">
        <v>626</v>
      </c>
      <c r="BT16" s="20">
        <v>40500000000</v>
      </c>
      <c r="BU16" s="214">
        <v>16738707054</v>
      </c>
      <c r="BV16" s="214">
        <v>8538112545</v>
      </c>
      <c r="BW16" s="177">
        <f>BU16/BT16</f>
        <v>0.41330140874074073</v>
      </c>
      <c r="BX16" s="177">
        <f>BV16/BT16</f>
        <v>0.2108175937037037</v>
      </c>
      <c r="BY16" s="315">
        <v>3.7634408602150539E-2</v>
      </c>
      <c r="BZ16" s="315">
        <v>0.70071428571428573</v>
      </c>
      <c r="CA16" s="192"/>
      <c r="CB16" s="104"/>
      <c r="CC16" s="276"/>
      <c r="CD16" s="21">
        <v>44377</v>
      </c>
      <c r="CE16" s="22" t="str">
        <f t="shared" si="12"/>
        <v>2. Propici</v>
      </c>
      <c r="CF16" s="22" t="str">
        <f t="shared" si="13"/>
        <v>1. Fortalecer la capacidad de respuesta de los cuerpos de bomberos ante situaciones de emergencias</v>
      </c>
      <c r="CG16" s="22" t="str">
        <f t="shared" si="14"/>
        <v>1.1 Fortalecer a los Cuerpos de Bomberos con equipamiento especializado para la atención de emergenc</v>
      </c>
      <c r="CH16" s="22" t="str">
        <f t="shared" si="15"/>
        <v xml:space="preserve">Producto </v>
      </c>
      <c r="CI16" s="22" t="str">
        <f t="shared" si="16"/>
        <v>Producto</v>
      </c>
      <c r="CJ16" s="273">
        <f t="shared" si="17"/>
        <v>2.8571428571428571E-3</v>
      </c>
      <c r="CK16" s="273">
        <f t="shared" si="18"/>
        <v>1.5384615384615385E-3</v>
      </c>
      <c r="CL16" s="273">
        <f t="shared" si="28"/>
        <v>1.2544802867383513E-2</v>
      </c>
      <c r="CM16" s="273">
        <f t="shared" si="29"/>
        <v>0.23357142857142857</v>
      </c>
      <c r="CN16" s="23"/>
      <c r="CO16" s="273">
        <f t="shared" si="21"/>
        <v>0.55966205837173577</v>
      </c>
      <c r="CP16" s="273">
        <f t="shared" si="22"/>
        <v>0.79223768295196872</v>
      </c>
      <c r="CQ16" s="273">
        <f t="shared" si="23"/>
        <v>0.55966205837173577</v>
      </c>
      <c r="CR16" s="273">
        <f t="shared" si="24"/>
        <v>0.79223768295196861</v>
      </c>
      <c r="CS16" s="273">
        <f t="shared" si="25"/>
        <v>0.34587813620071683</v>
      </c>
      <c r="CT16" s="273">
        <f t="shared" si="26"/>
        <v>0.02</v>
      </c>
      <c r="CU16" s="273">
        <f t="shared" si="30"/>
        <v>3.7634408602150539E-2</v>
      </c>
      <c r="CV16" s="25">
        <f t="shared" si="31"/>
        <v>0.70071428571428573</v>
      </c>
    </row>
    <row r="17" spans="1:100" s="274" customFormat="1" ht="147.75" customHeight="1" x14ac:dyDescent="0.2">
      <c r="A17" s="168" t="s">
        <v>12</v>
      </c>
      <c r="B17" s="22" t="s">
        <v>82</v>
      </c>
      <c r="C17" s="22" t="s">
        <v>83</v>
      </c>
      <c r="D17" s="22" t="s">
        <v>68</v>
      </c>
      <c r="E17" s="22" t="s">
        <v>84</v>
      </c>
      <c r="F17" s="22" t="s">
        <v>68</v>
      </c>
      <c r="G17" s="22" t="s">
        <v>222</v>
      </c>
      <c r="H17" s="90" t="s">
        <v>249</v>
      </c>
      <c r="I17" s="90" t="s">
        <v>257</v>
      </c>
      <c r="J17" s="90" t="s">
        <v>85</v>
      </c>
      <c r="K17" s="90" t="s">
        <v>86</v>
      </c>
      <c r="L17" s="22" t="s">
        <v>76</v>
      </c>
      <c r="M17" s="22" t="s">
        <v>71</v>
      </c>
      <c r="N17" s="91">
        <v>226</v>
      </c>
      <c r="O17" s="91">
        <v>350</v>
      </c>
      <c r="P17" s="91">
        <v>350</v>
      </c>
      <c r="Q17" s="91">
        <v>350</v>
      </c>
      <c r="R17" s="91">
        <v>350</v>
      </c>
      <c r="S17" s="91">
        <v>1400</v>
      </c>
      <c r="T17" s="22" t="s">
        <v>72</v>
      </c>
      <c r="U17" s="92"/>
      <c r="V17" s="92"/>
      <c r="W17" s="92"/>
      <c r="X17" s="92"/>
      <c r="Y17" s="92"/>
      <c r="Z17" s="92"/>
      <c r="AA17" s="92"/>
      <c r="AB17" s="108"/>
      <c r="AC17" s="19"/>
      <c r="AD17" s="19"/>
      <c r="AE17" s="128"/>
      <c r="AF17" s="128"/>
      <c r="AG17" s="104"/>
      <c r="AH17" s="104"/>
      <c r="AI17" s="133"/>
      <c r="AJ17" s="133"/>
      <c r="AK17" s="133"/>
      <c r="AL17" s="8"/>
      <c r="AM17" s="103" t="s">
        <v>584</v>
      </c>
      <c r="AN17" s="103" t="s">
        <v>584</v>
      </c>
      <c r="AO17" s="109" t="s">
        <v>279</v>
      </c>
      <c r="AP17" s="109" t="s">
        <v>171</v>
      </c>
      <c r="AQ17" s="90" t="s">
        <v>217</v>
      </c>
      <c r="AR17" s="22" t="s">
        <v>9</v>
      </c>
      <c r="AS17" s="22" t="s">
        <v>104</v>
      </c>
      <c r="AT17" s="99">
        <v>0.87</v>
      </c>
      <c r="AU17" s="22" t="s">
        <v>77</v>
      </c>
      <c r="AV17" s="21">
        <v>43466</v>
      </c>
      <c r="AW17" s="21">
        <v>44926</v>
      </c>
      <c r="AX17" s="94">
        <v>1</v>
      </c>
      <c r="AY17" s="94">
        <v>1</v>
      </c>
      <c r="AZ17" s="94">
        <v>1</v>
      </c>
      <c r="BA17" s="94">
        <v>1</v>
      </c>
      <c r="BB17" s="94">
        <v>1</v>
      </c>
      <c r="BC17" s="94">
        <f>87/87</f>
        <v>1</v>
      </c>
      <c r="BD17" s="94">
        <f>3/3</f>
        <v>1</v>
      </c>
      <c r="BE17" s="94">
        <f>3/3</f>
        <v>1</v>
      </c>
      <c r="BF17" s="94">
        <f>15/15</f>
        <v>1</v>
      </c>
      <c r="BG17" s="94">
        <f>23/23</f>
        <v>1</v>
      </c>
      <c r="BH17" s="94">
        <f>23/23</f>
        <v>1</v>
      </c>
      <c r="BI17" s="94">
        <f>35/35</f>
        <v>1</v>
      </c>
      <c r="BJ17" s="98">
        <f>70/70</f>
        <v>1</v>
      </c>
      <c r="BK17" s="176">
        <f>11/11</f>
        <v>1</v>
      </c>
      <c r="BL17" s="176"/>
      <c r="BM17" s="177">
        <f>116/116</f>
        <v>1</v>
      </c>
      <c r="BN17" s="177">
        <v>1</v>
      </c>
      <c r="BO17" s="154" t="s">
        <v>474</v>
      </c>
      <c r="BP17" s="154" t="s">
        <v>532</v>
      </c>
      <c r="BQ17" s="212" t="s">
        <v>627</v>
      </c>
      <c r="BR17" s="155"/>
      <c r="BS17" s="192" t="s">
        <v>628</v>
      </c>
      <c r="BT17" s="20">
        <v>5205400000</v>
      </c>
      <c r="BU17" s="214">
        <v>2664993359</v>
      </c>
      <c r="BV17" s="214">
        <v>580481333</v>
      </c>
      <c r="BW17" s="177">
        <f t="shared" ref="BW17:BW22" si="32">BU17/BT17</f>
        <v>0.51196706477888343</v>
      </c>
      <c r="BX17" s="177">
        <f t="shared" ref="BX17:BX22" si="33">BV17/BT17</f>
        <v>0.11151522130864103</v>
      </c>
      <c r="BY17" s="315">
        <v>1</v>
      </c>
      <c r="BZ17" s="315">
        <v>1</v>
      </c>
      <c r="CA17" s="192"/>
      <c r="CB17" s="104"/>
      <c r="CC17" s="276"/>
      <c r="CD17" s="21">
        <v>44377</v>
      </c>
      <c r="CE17" s="22" t="str">
        <f t="shared" si="12"/>
        <v>2. Propici</v>
      </c>
      <c r="CF17" s="22" t="str">
        <f t="shared" si="13"/>
        <v>1. Fortalecer la capacidad de respuesta de los cuerpos de bomberos ante situaciones de emergencias</v>
      </c>
      <c r="CG17" s="22" t="str">
        <f t="shared" si="14"/>
        <v>1.2 Coordinar y apoyar técnica y operativamente a los cuerpos de bomberos en la atención de emergenc</v>
      </c>
      <c r="CH17" s="22" t="str">
        <f t="shared" si="15"/>
        <v xml:space="preserve">Producto </v>
      </c>
      <c r="CI17" s="22" t="str">
        <f t="shared" si="16"/>
        <v>Gestión</v>
      </c>
      <c r="CJ17" s="273" t="str">
        <f t="shared" si="17"/>
        <v/>
      </c>
      <c r="CK17" s="273" t="str">
        <f t="shared" si="18"/>
        <v/>
      </c>
      <c r="CL17" s="273">
        <f t="shared" si="28"/>
        <v>0.33333333333333331</v>
      </c>
      <c r="CM17" s="273">
        <f t="shared" si="29"/>
        <v>0.33333333333333331</v>
      </c>
      <c r="CN17" s="23"/>
      <c r="CO17" s="273">
        <f t="shared" si="21"/>
        <v>0.55966205837173577</v>
      </c>
      <c r="CP17" s="273">
        <f t="shared" si="22"/>
        <v>0.79223768295196872</v>
      </c>
      <c r="CQ17" s="273">
        <f t="shared" si="23"/>
        <v>0.55966205837173577</v>
      </c>
      <c r="CR17" s="273">
        <f t="shared" si="24"/>
        <v>0.79223768295196861</v>
      </c>
      <c r="CS17" s="273">
        <f t="shared" si="25"/>
        <v>0.34587813620071683</v>
      </c>
      <c r="CT17" s="273" t="str">
        <f t="shared" si="26"/>
        <v/>
      </c>
      <c r="CU17" s="273">
        <f t="shared" si="30"/>
        <v>1</v>
      </c>
      <c r="CV17" s="25">
        <f t="shared" si="31"/>
        <v>1</v>
      </c>
    </row>
    <row r="18" spans="1:100" s="274" customFormat="1" ht="141.75" customHeight="1" x14ac:dyDescent="0.2">
      <c r="A18" s="168" t="s">
        <v>12</v>
      </c>
      <c r="B18" s="22" t="s">
        <v>82</v>
      </c>
      <c r="C18" s="22" t="s">
        <v>83</v>
      </c>
      <c r="D18" s="22" t="s">
        <v>68</v>
      </c>
      <c r="E18" s="22" t="s">
        <v>84</v>
      </c>
      <c r="F18" s="22" t="s">
        <v>68</v>
      </c>
      <c r="G18" s="22" t="s">
        <v>222</v>
      </c>
      <c r="H18" s="90" t="s">
        <v>249</v>
      </c>
      <c r="I18" s="90" t="s">
        <v>257</v>
      </c>
      <c r="J18" s="90" t="s">
        <v>85</v>
      </c>
      <c r="K18" s="90" t="s">
        <v>86</v>
      </c>
      <c r="L18" s="22" t="s">
        <v>76</v>
      </c>
      <c r="M18" s="22" t="s">
        <v>71</v>
      </c>
      <c r="N18" s="91">
        <v>226</v>
      </c>
      <c r="O18" s="91">
        <v>350</v>
      </c>
      <c r="P18" s="91">
        <v>350</v>
      </c>
      <c r="Q18" s="91">
        <v>350</v>
      </c>
      <c r="R18" s="91">
        <v>350</v>
      </c>
      <c r="S18" s="91">
        <v>1400</v>
      </c>
      <c r="T18" s="22" t="s">
        <v>72</v>
      </c>
      <c r="U18" s="92"/>
      <c r="V18" s="92"/>
      <c r="W18" s="92"/>
      <c r="X18" s="92"/>
      <c r="Y18" s="92"/>
      <c r="Z18" s="92"/>
      <c r="AA18" s="92"/>
      <c r="AB18" s="108"/>
      <c r="AC18" s="19"/>
      <c r="AD18" s="19"/>
      <c r="AE18" s="128"/>
      <c r="AF18" s="128"/>
      <c r="AG18" s="104"/>
      <c r="AH18" s="104"/>
      <c r="AI18" s="133"/>
      <c r="AJ18" s="133"/>
      <c r="AK18" s="133"/>
      <c r="AL18" s="8"/>
      <c r="AM18" s="103" t="s">
        <v>584</v>
      </c>
      <c r="AN18" s="103" t="s">
        <v>584</v>
      </c>
      <c r="AO18" s="109" t="s">
        <v>280</v>
      </c>
      <c r="AP18" s="109" t="s">
        <v>89</v>
      </c>
      <c r="AQ18" s="90" t="s">
        <v>90</v>
      </c>
      <c r="AR18" s="22" t="s">
        <v>8</v>
      </c>
      <c r="AS18" s="22" t="s">
        <v>71</v>
      </c>
      <c r="AT18" s="110" t="s">
        <v>101</v>
      </c>
      <c r="AU18" s="91" t="s">
        <v>72</v>
      </c>
      <c r="AV18" s="21">
        <v>43831</v>
      </c>
      <c r="AW18" s="21">
        <v>44926</v>
      </c>
      <c r="AX18" s="92">
        <v>0</v>
      </c>
      <c r="AY18" s="91">
        <v>15</v>
      </c>
      <c r="AZ18" s="91">
        <v>20</v>
      </c>
      <c r="BA18" s="91">
        <v>25</v>
      </c>
      <c r="BB18" s="91">
        <f>SUBTOTAL(9,AY18:BA18)</f>
        <v>60</v>
      </c>
      <c r="BC18" s="92">
        <v>0</v>
      </c>
      <c r="BD18" s="92">
        <v>0</v>
      </c>
      <c r="BE18" s="92">
        <v>0</v>
      </c>
      <c r="BF18" s="92">
        <v>15</v>
      </c>
      <c r="BG18" s="92">
        <v>47</v>
      </c>
      <c r="BH18" s="92">
        <v>47</v>
      </c>
      <c r="BI18" s="92">
        <v>0</v>
      </c>
      <c r="BJ18" s="108">
        <v>0</v>
      </c>
      <c r="BK18" s="182">
        <v>0</v>
      </c>
      <c r="BL18" s="182"/>
      <c r="BM18" s="182">
        <v>0</v>
      </c>
      <c r="BN18" s="182">
        <v>47</v>
      </c>
      <c r="BO18" s="104" t="s">
        <v>413</v>
      </c>
      <c r="BP18" s="104" t="s">
        <v>533</v>
      </c>
      <c r="BQ18" s="192" t="s">
        <v>630</v>
      </c>
      <c r="BR18" s="133"/>
      <c r="BS18" s="192"/>
      <c r="BT18" s="20">
        <v>3200000000</v>
      </c>
      <c r="BU18" s="214">
        <v>2108070000</v>
      </c>
      <c r="BV18" s="214">
        <v>557222000</v>
      </c>
      <c r="BW18" s="177">
        <f t="shared" si="32"/>
        <v>0.65877187500000001</v>
      </c>
      <c r="BX18" s="177">
        <f t="shared" si="33"/>
        <v>0.17413187499999999</v>
      </c>
      <c r="BY18" s="315">
        <v>0</v>
      </c>
      <c r="BZ18" s="315">
        <v>0.78333333333333333</v>
      </c>
      <c r="CA18" s="192"/>
      <c r="CB18" s="104"/>
      <c r="CC18" s="276"/>
      <c r="CD18" s="21">
        <v>44377</v>
      </c>
      <c r="CE18" s="22" t="str">
        <f t="shared" si="12"/>
        <v>2. Propici</v>
      </c>
      <c r="CF18" s="22" t="str">
        <f t="shared" si="13"/>
        <v>1. Fortalecer la capacidad de respuesta de los cuerpos de bomberos ante situaciones de emergencias</v>
      </c>
      <c r="CG18" s="22" t="str">
        <f t="shared" si="14"/>
        <v>1.3 Apoyar la capacitación y entrenamiento de las unidades bomberiles</v>
      </c>
      <c r="CH18" s="22" t="str">
        <f t="shared" si="15"/>
        <v xml:space="preserve">Producto </v>
      </c>
      <c r="CI18" s="22" t="str">
        <f t="shared" si="16"/>
        <v>Producto</v>
      </c>
      <c r="CJ18" s="273" t="str">
        <f t="shared" si="17"/>
        <v/>
      </c>
      <c r="CK18" s="273" t="str">
        <f t="shared" si="18"/>
        <v/>
      </c>
      <c r="CL18" s="273">
        <f t="shared" si="28"/>
        <v>0</v>
      </c>
      <c r="CM18" s="273">
        <f t="shared" si="29"/>
        <v>0.26111111111111113</v>
      </c>
      <c r="CN18" s="23"/>
      <c r="CO18" s="273">
        <f t="shared" si="21"/>
        <v>0.55966205837173577</v>
      </c>
      <c r="CP18" s="273">
        <f t="shared" si="22"/>
        <v>0.79223768295196872</v>
      </c>
      <c r="CQ18" s="273">
        <f t="shared" si="23"/>
        <v>0.55966205837173577</v>
      </c>
      <c r="CR18" s="273">
        <f t="shared" si="24"/>
        <v>0.79223768295196861</v>
      </c>
      <c r="CS18" s="273">
        <f t="shared" si="25"/>
        <v>0.34587813620071683</v>
      </c>
      <c r="CT18" s="273" t="str">
        <f t="shared" si="26"/>
        <v/>
      </c>
      <c r="CU18" s="273">
        <f t="shared" si="30"/>
        <v>0</v>
      </c>
      <c r="CV18" s="25">
        <f t="shared" si="31"/>
        <v>0.78333333333333333</v>
      </c>
    </row>
    <row r="19" spans="1:100" s="274" customFormat="1" ht="86.1" customHeight="1" x14ac:dyDescent="0.2">
      <c r="A19" s="168" t="s">
        <v>12</v>
      </c>
      <c r="B19" s="22" t="s">
        <v>82</v>
      </c>
      <c r="C19" s="22" t="s">
        <v>83</v>
      </c>
      <c r="D19" s="22" t="s">
        <v>68</v>
      </c>
      <c r="E19" s="22" t="s">
        <v>84</v>
      </c>
      <c r="F19" s="22" t="s">
        <v>68</v>
      </c>
      <c r="G19" s="22" t="s">
        <v>222</v>
      </c>
      <c r="H19" s="90" t="s">
        <v>249</v>
      </c>
      <c r="I19" s="90" t="s">
        <v>369</v>
      </c>
      <c r="J19" s="90" t="s">
        <v>370</v>
      </c>
      <c r="K19" s="90" t="s">
        <v>91</v>
      </c>
      <c r="L19" s="22" t="s">
        <v>76</v>
      </c>
      <c r="M19" s="22" t="s">
        <v>71</v>
      </c>
      <c r="N19" s="91" t="s">
        <v>101</v>
      </c>
      <c r="O19" s="92">
        <v>0</v>
      </c>
      <c r="P19" s="91">
        <v>50</v>
      </c>
      <c r="Q19" s="91">
        <v>60</v>
      </c>
      <c r="R19" s="91">
        <v>70</v>
      </c>
      <c r="S19" s="91">
        <v>180</v>
      </c>
      <c r="T19" s="22" t="s">
        <v>72</v>
      </c>
      <c r="U19" s="22">
        <v>28</v>
      </c>
      <c r="V19" s="92">
        <v>0</v>
      </c>
      <c r="W19" s="22">
        <v>14</v>
      </c>
      <c r="X19" s="93">
        <v>16</v>
      </c>
      <c r="Y19" s="93">
        <v>20</v>
      </c>
      <c r="Z19" s="93">
        <v>50</v>
      </c>
      <c r="AA19" s="93">
        <v>30</v>
      </c>
      <c r="AB19" s="277">
        <v>0</v>
      </c>
      <c r="AC19" s="183">
        <v>9</v>
      </c>
      <c r="AD19" s="183"/>
      <c r="AE19" s="183">
        <v>39</v>
      </c>
      <c r="AF19" s="183">
        <v>117</v>
      </c>
      <c r="AG19" s="104" t="s">
        <v>432</v>
      </c>
      <c r="AH19" s="104" t="s">
        <v>593</v>
      </c>
      <c r="AI19" s="192" t="s">
        <v>623</v>
      </c>
      <c r="AJ19" s="192"/>
      <c r="AK19" s="192"/>
      <c r="AL19" s="194"/>
      <c r="AM19" s="103">
        <v>0.5</v>
      </c>
      <c r="AN19" s="103">
        <v>0.6</v>
      </c>
      <c r="AO19" s="109" t="s">
        <v>281</v>
      </c>
      <c r="AP19" s="109" t="s">
        <v>197</v>
      </c>
      <c r="AQ19" s="90" t="s">
        <v>92</v>
      </c>
      <c r="AR19" s="22" t="s">
        <v>9</v>
      </c>
      <c r="AS19" s="22" t="s">
        <v>71</v>
      </c>
      <c r="AT19" s="91">
        <v>5</v>
      </c>
      <c r="AU19" s="91" t="s">
        <v>72</v>
      </c>
      <c r="AV19" s="21">
        <v>43831</v>
      </c>
      <c r="AW19" s="21">
        <v>44926</v>
      </c>
      <c r="AX19" s="92">
        <v>0</v>
      </c>
      <c r="AY19" s="91">
        <v>50</v>
      </c>
      <c r="AZ19" s="91">
        <v>60</v>
      </c>
      <c r="BA19" s="91">
        <v>70</v>
      </c>
      <c r="BB19" s="91">
        <f>SUBTOTAL(9,AX19:BA19)</f>
        <v>180</v>
      </c>
      <c r="BC19" s="92">
        <v>28</v>
      </c>
      <c r="BD19" s="92">
        <v>0</v>
      </c>
      <c r="BE19" s="92">
        <v>14</v>
      </c>
      <c r="BF19" s="92">
        <v>16</v>
      </c>
      <c r="BG19" s="92">
        <v>20</v>
      </c>
      <c r="BH19" s="91">
        <v>50</v>
      </c>
      <c r="BI19" s="91">
        <v>30</v>
      </c>
      <c r="BJ19" s="108">
        <v>0</v>
      </c>
      <c r="BK19" s="185">
        <v>9</v>
      </c>
      <c r="BL19" s="185"/>
      <c r="BM19" s="182">
        <v>39</v>
      </c>
      <c r="BN19" s="183">
        <v>117</v>
      </c>
      <c r="BO19" s="154" t="s">
        <v>475</v>
      </c>
      <c r="BP19" s="154" t="s">
        <v>593</v>
      </c>
      <c r="BQ19" s="212" t="s">
        <v>623</v>
      </c>
      <c r="BR19" s="155"/>
      <c r="BS19" s="192"/>
      <c r="BT19" s="20">
        <v>3870000000</v>
      </c>
      <c r="BU19" s="214">
        <v>1485600000</v>
      </c>
      <c r="BV19" s="214">
        <v>1306245194</v>
      </c>
      <c r="BW19" s="177">
        <f t="shared" si="32"/>
        <v>0.38387596899224807</v>
      </c>
      <c r="BX19" s="177">
        <f t="shared" si="33"/>
        <v>0.33753105788113696</v>
      </c>
      <c r="BY19" s="315">
        <v>0.5</v>
      </c>
      <c r="BZ19" s="315">
        <v>0.6</v>
      </c>
      <c r="CA19" s="192"/>
      <c r="CB19" s="104"/>
      <c r="CC19" s="276"/>
      <c r="CD19" s="21">
        <v>44377</v>
      </c>
      <c r="CE19" s="22" t="str">
        <f t="shared" si="12"/>
        <v>2. Propici</v>
      </c>
      <c r="CF19" s="22" t="str">
        <f t="shared" si="13"/>
        <v>2.Verificar las capacidades de operatividad de los Cuerpos de Bomberos de Colombia</v>
      </c>
      <c r="CG19" s="22" t="str">
        <f t="shared" si="14"/>
        <v>2.1 Adelantar labores de Inspección, vigilancia y Control sobre los Cuerpos de Bomberos del País.</v>
      </c>
      <c r="CH19" s="22" t="str">
        <f t="shared" si="15"/>
        <v xml:space="preserve">Producto </v>
      </c>
      <c r="CI19" s="22" t="str">
        <f t="shared" si="16"/>
        <v>Gestión</v>
      </c>
      <c r="CJ19" s="273" t="str">
        <f t="shared" si="17"/>
        <v/>
      </c>
      <c r="CK19" s="273">
        <f t="shared" si="18"/>
        <v>3.8461538461538464E-2</v>
      </c>
      <c r="CL19" s="273">
        <f t="shared" si="28"/>
        <v>0.25</v>
      </c>
      <c r="CM19" s="273">
        <f t="shared" si="29"/>
        <v>0.3</v>
      </c>
      <c r="CN19" s="23"/>
      <c r="CO19" s="273">
        <f t="shared" si="21"/>
        <v>0.55966205837173577</v>
      </c>
      <c r="CP19" s="273">
        <f t="shared" si="22"/>
        <v>0.79223768295196872</v>
      </c>
      <c r="CQ19" s="273">
        <f t="shared" si="23"/>
        <v>0.55966205837173577</v>
      </c>
      <c r="CR19" s="273">
        <f t="shared" si="24"/>
        <v>0.79223768295196861</v>
      </c>
      <c r="CS19" s="273">
        <f t="shared" si="25"/>
        <v>0.44</v>
      </c>
      <c r="CT19" s="273">
        <f t="shared" si="26"/>
        <v>0.5</v>
      </c>
      <c r="CU19" s="273">
        <f t="shared" si="30"/>
        <v>0.5</v>
      </c>
      <c r="CV19" s="25">
        <f t="shared" si="31"/>
        <v>0.6</v>
      </c>
    </row>
    <row r="20" spans="1:100" s="274" customFormat="1" ht="95.25" customHeight="1" x14ac:dyDescent="0.2">
      <c r="A20" s="168" t="s">
        <v>12</v>
      </c>
      <c r="B20" s="22" t="s">
        <v>82</v>
      </c>
      <c r="C20" s="22" t="s">
        <v>83</v>
      </c>
      <c r="D20" s="22" t="s">
        <v>68</v>
      </c>
      <c r="E20" s="22" t="s">
        <v>84</v>
      </c>
      <c r="F20" s="22" t="s">
        <v>68</v>
      </c>
      <c r="G20" s="22" t="s">
        <v>222</v>
      </c>
      <c r="H20" s="90" t="s">
        <v>249</v>
      </c>
      <c r="I20" s="90" t="s">
        <v>369</v>
      </c>
      <c r="J20" s="90" t="s">
        <v>370</v>
      </c>
      <c r="K20" s="90" t="s">
        <v>91</v>
      </c>
      <c r="L20" s="22" t="s">
        <v>76</v>
      </c>
      <c r="M20" s="22" t="s">
        <v>71</v>
      </c>
      <c r="N20" s="91" t="s">
        <v>101</v>
      </c>
      <c r="O20" s="92">
        <v>0</v>
      </c>
      <c r="P20" s="91">
        <v>50</v>
      </c>
      <c r="Q20" s="91">
        <v>60</v>
      </c>
      <c r="R20" s="91">
        <v>70</v>
      </c>
      <c r="S20" s="91">
        <v>180</v>
      </c>
      <c r="T20" s="22" t="s">
        <v>72</v>
      </c>
      <c r="U20" s="92"/>
      <c r="V20" s="92"/>
      <c r="W20" s="92"/>
      <c r="X20" s="92"/>
      <c r="Y20" s="92"/>
      <c r="Z20" s="92"/>
      <c r="AA20" s="92"/>
      <c r="AB20" s="108"/>
      <c r="AC20" s="19"/>
      <c r="AD20" s="19"/>
      <c r="AE20" s="128"/>
      <c r="AF20" s="128"/>
      <c r="AG20" s="104"/>
      <c r="AH20" s="104"/>
      <c r="AI20" s="133"/>
      <c r="AJ20" s="133"/>
      <c r="AK20" s="133"/>
      <c r="AL20" s="8"/>
      <c r="AM20" s="103" t="s">
        <v>584</v>
      </c>
      <c r="AN20" s="103" t="s">
        <v>584</v>
      </c>
      <c r="AO20" s="109" t="s">
        <v>282</v>
      </c>
      <c r="AP20" s="109" t="s">
        <v>140</v>
      </c>
      <c r="AQ20" s="90" t="s">
        <v>93</v>
      </c>
      <c r="AR20" s="22" t="s">
        <v>8</v>
      </c>
      <c r="AS20" s="22" t="s">
        <v>71</v>
      </c>
      <c r="AT20" s="91">
        <v>360</v>
      </c>
      <c r="AU20" s="91" t="s">
        <v>72</v>
      </c>
      <c r="AV20" s="21">
        <v>43466</v>
      </c>
      <c r="AW20" s="21">
        <v>44926</v>
      </c>
      <c r="AX20" s="91">
        <v>180</v>
      </c>
      <c r="AY20" s="91">
        <v>360</v>
      </c>
      <c r="AZ20" s="91">
        <v>250</v>
      </c>
      <c r="BA20" s="91">
        <v>200</v>
      </c>
      <c r="BB20" s="91">
        <f>SUBTOTAL(9,AX20:BA20)</f>
        <v>990</v>
      </c>
      <c r="BC20" s="92">
        <v>0</v>
      </c>
      <c r="BD20" s="91">
        <v>32</v>
      </c>
      <c r="BE20" s="91">
        <v>73</v>
      </c>
      <c r="BF20" s="91">
        <v>257</v>
      </c>
      <c r="BG20" s="92">
        <v>0</v>
      </c>
      <c r="BH20" s="91">
        <v>362</v>
      </c>
      <c r="BI20" s="91">
        <v>15</v>
      </c>
      <c r="BJ20" s="108">
        <v>80</v>
      </c>
      <c r="BK20" s="185">
        <v>33</v>
      </c>
      <c r="BL20" s="185"/>
      <c r="BM20" s="182">
        <v>128</v>
      </c>
      <c r="BN20" s="182">
        <v>490</v>
      </c>
      <c r="BO20" s="154" t="s">
        <v>445</v>
      </c>
      <c r="BP20" s="154" t="s">
        <v>534</v>
      </c>
      <c r="BQ20" s="212" t="s">
        <v>624</v>
      </c>
      <c r="BR20" s="155"/>
      <c r="BS20" s="192"/>
      <c r="BT20" s="20">
        <v>400000000</v>
      </c>
      <c r="BU20" s="214">
        <v>254195947</v>
      </c>
      <c r="BV20" s="214"/>
      <c r="BW20" s="177">
        <f t="shared" si="32"/>
        <v>0.63548986750000003</v>
      </c>
      <c r="BX20" s="177">
        <f t="shared" si="33"/>
        <v>0</v>
      </c>
      <c r="BY20" s="315">
        <v>0.38</v>
      </c>
      <c r="BZ20" s="315">
        <v>0.46161616161616159</v>
      </c>
      <c r="CA20" s="192"/>
      <c r="CB20" s="104"/>
      <c r="CC20" s="272"/>
      <c r="CD20" s="21">
        <v>44377</v>
      </c>
      <c r="CE20" s="22" t="str">
        <f t="shared" si="12"/>
        <v>2. Propici</v>
      </c>
      <c r="CF20" s="22" t="str">
        <f t="shared" si="13"/>
        <v>2.Verificar las capacidades de operatividad de los Cuerpos de Bomberos de Colombia</v>
      </c>
      <c r="CG20" s="22" t="str">
        <f t="shared" si="14"/>
        <v>2.2 Apoyar el funcionamiento y sostenibilidad del Registro Único Nacional de Estadísticas de Bombero</v>
      </c>
      <c r="CH20" s="22" t="str">
        <f t="shared" si="15"/>
        <v xml:space="preserve">Producto </v>
      </c>
      <c r="CI20" s="22" t="str">
        <f t="shared" si="16"/>
        <v>Producto</v>
      </c>
      <c r="CJ20" s="273" t="str">
        <f t="shared" si="17"/>
        <v/>
      </c>
      <c r="CK20" s="273" t="str">
        <f t="shared" si="18"/>
        <v/>
      </c>
      <c r="CL20" s="273">
        <f t="shared" si="28"/>
        <v>0.19</v>
      </c>
      <c r="CM20" s="273">
        <f t="shared" si="29"/>
        <v>0.2308080808080808</v>
      </c>
      <c r="CN20" s="23"/>
      <c r="CO20" s="273">
        <f t="shared" si="21"/>
        <v>0.55966205837173577</v>
      </c>
      <c r="CP20" s="273">
        <f t="shared" si="22"/>
        <v>0.79223768295196872</v>
      </c>
      <c r="CQ20" s="273">
        <f t="shared" si="23"/>
        <v>0.55966205837173577</v>
      </c>
      <c r="CR20" s="273">
        <f t="shared" si="24"/>
        <v>0.79223768295196861</v>
      </c>
      <c r="CS20" s="273">
        <f t="shared" si="25"/>
        <v>0.44</v>
      </c>
      <c r="CT20" s="273" t="str">
        <f t="shared" si="26"/>
        <v/>
      </c>
      <c r="CU20" s="273">
        <f t="shared" si="30"/>
        <v>0.38</v>
      </c>
      <c r="CV20" s="25">
        <f t="shared" si="31"/>
        <v>0.46161616161616159</v>
      </c>
    </row>
    <row r="21" spans="1:100" s="274" customFormat="1" ht="271.5" customHeight="1" x14ac:dyDescent="0.2">
      <c r="A21" s="168" t="s">
        <v>12</v>
      </c>
      <c r="B21" s="22" t="s">
        <v>82</v>
      </c>
      <c r="C21" s="22" t="s">
        <v>83</v>
      </c>
      <c r="D21" s="22" t="s">
        <v>68</v>
      </c>
      <c r="E21" s="22" t="s">
        <v>84</v>
      </c>
      <c r="F21" s="22" t="s">
        <v>68</v>
      </c>
      <c r="G21" s="22" t="s">
        <v>222</v>
      </c>
      <c r="H21" s="90" t="s">
        <v>249</v>
      </c>
      <c r="I21" s="90" t="s">
        <v>258</v>
      </c>
      <c r="J21" s="90" t="s">
        <v>182</v>
      </c>
      <c r="K21" s="90" t="s">
        <v>307</v>
      </c>
      <c r="L21" s="22" t="s">
        <v>76</v>
      </c>
      <c r="M21" s="22" t="s">
        <v>104</v>
      </c>
      <c r="N21" s="94">
        <v>1</v>
      </c>
      <c r="O21" s="94">
        <v>1</v>
      </c>
      <c r="P21" s="94">
        <v>1</v>
      </c>
      <c r="Q21" s="94">
        <v>1</v>
      </c>
      <c r="R21" s="94">
        <v>1</v>
      </c>
      <c r="S21" s="94">
        <v>1</v>
      </c>
      <c r="T21" s="22" t="s">
        <v>77</v>
      </c>
      <c r="U21" s="94">
        <f>745/745</f>
        <v>1</v>
      </c>
      <c r="V21" s="94">
        <f>841/841</f>
        <v>1</v>
      </c>
      <c r="W21" s="94">
        <f t="shared" ref="W21:X21" si="34">841/841</f>
        <v>1</v>
      </c>
      <c r="X21" s="94">
        <f t="shared" si="34"/>
        <v>1</v>
      </c>
      <c r="Y21" s="94">
        <f>841/841</f>
        <v>1</v>
      </c>
      <c r="Z21" s="94">
        <f>841/841</f>
        <v>1</v>
      </c>
      <c r="AA21" s="94">
        <f>163/163</f>
        <v>1</v>
      </c>
      <c r="AB21" s="98">
        <v>1</v>
      </c>
      <c r="AC21" s="176">
        <v>1</v>
      </c>
      <c r="AD21" s="176"/>
      <c r="AE21" s="177">
        <v>1</v>
      </c>
      <c r="AF21" s="177">
        <v>1</v>
      </c>
      <c r="AG21" s="104" t="s">
        <v>443</v>
      </c>
      <c r="AH21" s="278" t="s">
        <v>594</v>
      </c>
      <c r="AI21" s="192" t="s">
        <v>625</v>
      </c>
      <c r="AJ21" s="192"/>
      <c r="AK21" s="192"/>
      <c r="AL21" s="194"/>
      <c r="AM21" s="103">
        <v>1</v>
      </c>
      <c r="AN21" s="103">
        <v>1</v>
      </c>
      <c r="AO21" s="109" t="s">
        <v>283</v>
      </c>
      <c r="AP21" s="109" t="s">
        <v>198</v>
      </c>
      <c r="AQ21" s="90" t="s">
        <v>199</v>
      </c>
      <c r="AR21" s="22" t="s">
        <v>9</v>
      </c>
      <c r="AS21" s="22" t="s">
        <v>104</v>
      </c>
      <c r="AT21" s="110" t="s">
        <v>101</v>
      </c>
      <c r="AU21" s="91" t="s">
        <v>72</v>
      </c>
      <c r="AV21" s="21">
        <v>43466</v>
      </c>
      <c r="AW21" s="21">
        <v>44926</v>
      </c>
      <c r="AX21" s="91">
        <v>841</v>
      </c>
      <c r="AY21" s="91">
        <v>841</v>
      </c>
      <c r="AZ21" s="91">
        <v>841</v>
      </c>
      <c r="BA21" s="91">
        <v>841</v>
      </c>
      <c r="BB21" s="91">
        <v>841</v>
      </c>
      <c r="BC21" s="91">
        <v>841</v>
      </c>
      <c r="BD21" s="91">
        <v>841</v>
      </c>
      <c r="BE21" s="91">
        <v>841</v>
      </c>
      <c r="BF21" s="91">
        <v>841</v>
      </c>
      <c r="BG21" s="91">
        <v>841</v>
      </c>
      <c r="BH21" s="91">
        <v>841</v>
      </c>
      <c r="BI21" s="91">
        <v>841</v>
      </c>
      <c r="BJ21" s="108">
        <v>841</v>
      </c>
      <c r="BK21" s="185">
        <v>841</v>
      </c>
      <c r="BL21" s="185"/>
      <c r="BM21" s="182">
        <v>841</v>
      </c>
      <c r="BN21" s="182">
        <v>841</v>
      </c>
      <c r="BO21" s="154" t="s">
        <v>476</v>
      </c>
      <c r="BP21" s="154" t="s">
        <v>595</v>
      </c>
      <c r="BQ21" s="212" t="s">
        <v>631</v>
      </c>
      <c r="BR21" s="155"/>
      <c r="BS21" s="192"/>
      <c r="BT21" s="20">
        <v>4575000000</v>
      </c>
      <c r="BU21" s="214">
        <v>3251953417</v>
      </c>
      <c r="BV21" s="214">
        <v>1911685973</v>
      </c>
      <c r="BW21" s="177">
        <f t="shared" si="32"/>
        <v>0.71080949005464478</v>
      </c>
      <c r="BX21" s="177">
        <f t="shared" si="33"/>
        <v>0.41785485748633877</v>
      </c>
      <c r="BY21" s="315">
        <v>1</v>
      </c>
      <c r="BZ21" s="315">
        <v>1</v>
      </c>
      <c r="CA21" s="192"/>
      <c r="CB21" s="104"/>
      <c r="CC21" s="272"/>
      <c r="CD21" s="21">
        <v>44377</v>
      </c>
      <c r="CE21" s="22" t="str">
        <f t="shared" si="12"/>
        <v>2. Propici</v>
      </c>
      <c r="CF21" s="22" t="str">
        <f t="shared" si="13"/>
        <v>3. Implementar la política pública bomberil</v>
      </c>
      <c r="CG21" s="22" t="str">
        <f t="shared" si="14"/>
        <v>3.1 Asesorar y acompañar a los cuerpos de bomberos en la implementación de políticas y reglamentos e</v>
      </c>
      <c r="CH21" s="22" t="str">
        <f t="shared" si="15"/>
        <v xml:space="preserve">Producto </v>
      </c>
      <c r="CI21" s="22" t="str">
        <f t="shared" si="16"/>
        <v>Gestión</v>
      </c>
      <c r="CJ21" s="273" t="str">
        <f t="shared" si="17"/>
        <v/>
      </c>
      <c r="CK21" s="273">
        <f t="shared" si="18"/>
        <v>7.6923076923076927E-2</v>
      </c>
      <c r="CL21" s="273">
        <f t="shared" si="28"/>
        <v>0.5</v>
      </c>
      <c r="CM21" s="273">
        <f t="shared" si="29"/>
        <v>0.5</v>
      </c>
      <c r="CN21" s="23"/>
      <c r="CO21" s="273">
        <f t="shared" si="21"/>
        <v>0.55966205837173577</v>
      </c>
      <c r="CP21" s="273">
        <f t="shared" si="22"/>
        <v>0.79223768295196872</v>
      </c>
      <c r="CQ21" s="273">
        <f t="shared" si="23"/>
        <v>0.55966205837173577</v>
      </c>
      <c r="CR21" s="273">
        <f t="shared" si="24"/>
        <v>0.79223768295196861</v>
      </c>
      <c r="CS21" s="273">
        <f t="shared" si="25"/>
        <v>1</v>
      </c>
      <c r="CT21" s="273">
        <f t="shared" si="26"/>
        <v>1</v>
      </c>
      <c r="CU21" s="273">
        <f t="shared" si="30"/>
        <v>1</v>
      </c>
      <c r="CV21" s="25">
        <f t="shared" si="31"/>
        <v>1</v>
      </c>
    </row>
    <row r="22" spans="1:100" s="274" customFormat="1" ht="200.25" customHeight="1" x14ac:dyDescent="0.2">
      <c r="A22" s="168" t="s">
        <v>12</v>
      </c>
      <c r="B22" s="22" t="s">
        <v>82</v>
      </c>
      <c r="C22" s="22" t="s">
        <v>83</v>
      </c>
      <c r="D22" s="22" t="s">
        <v>68</v>
      </c>
      <c r="E22" s="22" t="s">
        <v>84</v>
      </c>
      <c r="F22" s="22" t="s">
        <v>68</v>
      </c>
      <c r="G22" s="22" t="s">
        <v>222</v>
      </c>
      <c r="H22" s="90" t="s">
        <v>249</v>
      </c>
      <c r="I22" s="90" t="s">
        <v>258</v>
      </c>
      <c r="J22" s="90" t="s">
        <v>182</v>
      </c>
      <c r="K22" s="90" t="s">
        <v>307</v>
      </c>
      <c r="L22" s="22" t="s">
        <v>76</v>
      </c>
      <c r="M22" s="22" t="s">
        <v>104</v>
      </c>
      <c r="N22" s="94">
        <v>1</v>
      </c>
      <c r="O22" s="94">
        <v>1</v>
      </c>
      <c r="P22" s="94">
        <v>1</v>
      </c>
      <c r="Q22" s="94">
        <v>1</v>
      </c>
      <c r="R22" s="94">
        <v>1</v>
      </c>
      <c r="S22" s="94">
        <v>1</v>
      </c>
      <c r="T22" s="22" t="s">
        <v>77</v>
      </c>
      <c r="U22" s="94"/>
      <c r="V22" s="94"/>
      <c r="W22" s="94"/>
      <c r="X22" s="94"/>
      <c r="Y22" s="94"/>
      <c r="Z22" s="94"/>
      <c r="AA22" s="94"/>
      <c r="AB22" s="98"/>
      <c r="AC22" s="26"/>
      <c r="AD22" s="26"/>
      <c r="AE22" s="17"/>
      <c r="AF22" s="17"/>
      <c r="AG22" s="104"/>
      <c r="AH22" s="104"/>
      <c r="AI22" s="133"/>
      <c r="AJ22" s="133"/>
      <c r="AK22" s="133"/>
      <c r="AL22" s="8"/>
      <c r="AM22" s="103" t="s">
        <v>584</v>
      </c>
      <c r="AN22" s="103" t="s">
        <v>584</v>
      </c>
      <c r="AO22" s="109" t="s">
        <v>284</v>
      </c>
      <c r="AP22" s="109" t="s">
        <v>200</v>
      </c>
      <c r="AQ22" s="90" t="s">
        <v>94</v>
      </c>
      <c r="AR22" s="22" t="s">
        <v>9</v>
      </c>
      <c r="AS22" s="22" t="s">
        <v>104</v>
      </c>
      <c r="AT22" s="91">
        <v>745</v>
      </c>
      <c r="AU22" s="91" t="s">
        <v>72</v>
      </c>
      <c r="AV22" s="21">
        <v>43466</v>
      </c>
      <c r="AW22" s="21">
        <v>44926</v>
      </c>
      <c r="AX22" s="91">
        <v>841</v>
      </c>
      <c r="AY22" s="91">
        <v>841</v>
      </c>
      <c r="AZ22" s="91">
        <v>841</v>
      </c>
      <c r="BA22" s="91">
        <v>841</v>
      </c>
      <c r="BB22" s="91">
        <v>841</v>
      </c>
      <c r="BC22" s="91">
        <v>841</v>
      </c>
      <c r="BD22" s="91">
        <v>841</v>
      </c>
      <c r="BE22" s="91">
        <v>841</v>
      </c>
      <c r="BF22" s="91">
        <v>841</v>
      </c>
      <c r="BG22" s="91">
        <v>841</v>
      </c>
      <c r="BH22" s="91">
        <v>841</v>
      </c>
      <c r="BI22" s="91">
        <v>841</v>
      </c>
      <c r="BJ22" s="108">
        <v>841</v>
      </c>
      <c r="BK22" s="185">
        <v>841</v>
      </c>
      <c r="BL22" s="185"/>
      <c r="BM22" s="182">
        <v>841</v>
      </c>
      <c r="BN22" s="182">
        <v>841</v>
      </c>
      <c r="BO22" s="154" t="s">
        <v>477</v>
      </c>
      <c r="BP22" s="154" t="s">
        <v>596</v>
      </c>
      <c r="BQ22" s="212" t="s">
        <v>629</v>
      </c>
      <c r="BR22" s="155"/>
      <c r="BS22" s="192"/>
      <c r="BT22" s="20">
        <v>4575000000</v>
      </c>
      <c r="BU22" s="214">
        <v>3251953417</v>
      </c>
      <c r="BV22" s="214">
        <v>1911685972</v>
      </c>
      <c r="BW22" s="177">
        <f t="shared" si="32"/>
        <v>0.71080949005464478</v>
      </c>
      <c r="BX22" s="177">
        <f t="shared" si="33"/>
        <v>0.41785485726775956</v>
      </c>
      <c r="BY22" s="315">
        <v>1</v>
      </c>
      <c r="BZ22" s="315">
        <v>1</v>
      </c>
      <c r="CA22" s="192"/>
      <c r="CB22" s="104"/>
      <c r="CC22" s="272"/>
      <c r="CD22" s="21">
        <v>44377</v>
      </c>
      <c r="CE22" s="22" t="str">
        <f t="shared" si="12"/>
        <v>2. Propici</v>
      </c>
      <c r="CF22" s="22" t="str">
        <f t="shared" si="13"/>
        <v>3. Implementar la política pública bomberil</v>
      </c>
      <c r="CG22" s="22" t="str">
        <f t="shared" si="14"/>
        <v>3.2 Brindar el soporte técnico, jurídico, administrativo y operativo requerido por los cuerpos de bo</v>
      </c>
      <c r="CH22" s="22" t="str">
        <f t="shared" si="15"/>
        <v xml:space="preserve">Producto </v>
      </c>
      <c r="CI22" s="22" t="str">
        <f t="shared" si="16"/>
        <v>Gestión</v>
      </c>
      <c r="CJ22" s="273" t="str">
        <f t="shared" si="17"/>
        <v/>
      </c>
      <c r="CK22" s="273" t="str">
        <f t="shared" si="18"/>
        <v/>
      </c>
      <c r="CL22" s="273">
        <f t="shared" si="28"/>
        <v>0.5</v>
      </c>
      <c r="CM22" s="273">
        <f t="shared" si="29"/>
        <v>0.5</v>
      </c>
      <c r="CN22" s="23"/>
      <c r="CO22" s="273">
        <f t="shared" si="21"/>
        <v>0.55966205837173577</v>
      </c>
      <c r="CP22" s="273">
        <f t="shared" si="22"/>
        <v>0.79223768295196872</v>
      </c>
      <c r="CQ22" s="273">
        <f t="shared" si="23"/>
        <v>0.55966205837173577</v>
      </c>
      <c r="CR22" s="273">
        <f t="shared" si="24"/>
        <v>0.79223768295196861</v>
      </c>
      <c r="CS22" s="273">
        <f t="shared" si="25"/>
        <v>1</v>
      </c>
      <c r="CT22" s="273" t="str">
        <f t="shared" si="26"/>
        <v/>
      </c>
      <c r="CU22" s="273">
        <f t="shared" si="30"/>
        <v>1</v>
      </c>
      <c r="CV22" s="25">
        <f t="shared" si="31"/>
        <v>1</v>
      </c>
    </row>
    <row r="23" spans="1:100" s="274" customFormat="1" ht="200.25" hidden="1" customHeight="1" x14ac:dyDescent="0.2">
      <c r="A23" s="169" t="s">
        <v>13</v>
      </c>
      <c r="B23" s="22" t="s">
        <v>226</v>
      </c>
      <c r="C23" s="22" t="s">
        <v>95</v>
      </c>
      <c r="D23" s="22"/>
      <c r="E23" s="22" t="s">
        <v>96</v>
      </c>
      <c r="F23" s="22"/>
      <c r="G23" s="22"/>
      <c r="H23" s="163" t="s">
        <v>251</v>
      </c>
      <c r="I23" s="90" t="s">
        <v>259</v>
      </c>
      <c r="J23" s="90" t="s">
        <v>172</v>
      </c>
      <c r="K23" s="90" t="s">
        <v>97</v>
      </c>
      <c r="L23" s="22" t="s">
        <v>76</v>
      </c>
      <c r="M23" s="22" t="s">
        <v>71</v>
      </c>
      <c r="N23" s="91">
        <v>12553</v>
      </c>
      <c r="O23" s="91">
        <v>8750</v>
      </c>
      <c r="P23" s="91">
        <v>8750</v>
      </c>
      <c r="Q23" s="91">
        <v>8750</v>
      </c>
      <c r="R23" s="91">
        <v>8750</v>
      </c>
      <c r="S23" s="91">
        <v>35000</v>
      </c>
      <c r="T23" s="22" t="s">
        <v>72</v>
      </c>
      <c r="U23" s="91">
        <v>16266</v>
      </c>
      <c r="V23" s="91">
        <v>2439</v>
      </c>
      <c r="W23" s="91">
        <v>14636</v>
      </c>
      <c r="X23" s="91">
        <v>23554</v>
      </c>
      <c r="Y23" s="92">
        <v>29557</v>
      </c>
      <c r="Z23" s="92">
        <v>29557</v>
      </c>
      <c r="AA23" s="92">
        <v>4505</v>
      </c>
      <c r="AB23" s="97">
        <v>7040</v>
      </c>
      <c r="AC23" s="182"/>
      <c r="AD23" s="182"/>
      <c r="AE23" s="182"/>
      <c r="AF23" s="182"/>
      <c r="AG23" s="104" t="s">
        <v>414</v>
      </c>
      <c r="AH23" s="104" t="s">
        <v>551</v>
      </c>
      <c r="AI23" s="192"/>
      <c r="AJ23" s="192"/>
      <c r="AK23" s="192"/>
      <c r="AL23" s="194"/>
      <c r="AM23" s="103">
        <v>1.0000100000000001</v>
      </c>
      <c r="AN23" s="103">
        <v>1.0000100000000001</v>
      </c>
      <c r="AO23" s="109" t="s">
        <v>285</v>
      </c>
      <c r="AP23" s="109" t="s">
        <v>98</v>
      </c>
      <c r="AQ23" s="90" t="s">
        <v>99</v>
      </c>
      <c r="AR23" s="22" t="s">
        <v>8</v>
      </c>
      <c r="AS23" s="22" t="s">
        <v>71</v>
      </c>
      <c r="AT23" s="91">
        <v>12553</v>
      </c>
      <c r="AU23" s="91" t="s">
        <v>72</v>
      </c>
      <c r="AV23" s="21">
        <v>43466</v>
      </c>
      <c r="AW23" s="21">
        <v>44926</v>
      </c>
      <c r="AX23" s="91">
        <v>8750</v>
      </c>
      <c r="AY23" s="91">
        <v>8750</v>
      </c>
      <c r="AZ23" s="91">
        <v>8750</v>
      </c>
      <c r="BA23" s="91">
        <v>8750</v>
      </c>
      <c r="BB23" s="91">
        <v>35000</v>
      </c>
      <c r="BC23" s="91">
        <v>16266</v>
      </c>
      <c r="BD23" s="91">
        <v>2439</v>
      </c>
      <c r="BE23" s="91">
        <v>14636</v>
      </c>
      <c r="BF23" s="91">
        <v>23554</v>
      </c>
      <c r="BG23" s="92">
        <v>29557</v>
      </c>
      <c r="BH23" s="92">
        <v>29557</v>
      </c>
      <c r="BI23" s="92">
        <v>4505</v>
      </c>
      <c r="BJ23" s="97">
        <v>7040</v>
      </c>
      <c r="BK23" s="182"/>
      <c r="BL23" s="182"/>
      <c r="BM23" s="182"/>
      <c r="BN23" s="182"/>
      <c r="BO23" s="154" t="s">
        <v>414</v>
      </c>
      <c r="BP23" s="154" t="s">
        <v>551</v>
      </c>
      <c r="BQ23" s="212"/>
      <c r="BR23" s="155"/>
      <c r="BS23" s="192"/>
      <c r="BT23" s="20">
        <v>290008996</v>
      </c>
      <c r="BU23" s="214"/>
      <c r="BV23" s="214"/>
      <c r="BW23" s="177"/>
      <c r="BX23" s="177"/>
      <c r="BY23" s="315">
        <v>1.0000100000000001</v>
      </c>
      <c r="BZ23" s="315">
        <v>1.0000100000000001</v>
      </c>
      <c r="CA23" s="192"/>
      <c r="CB23" s="104"/>
      <c r="CC23" s="272"/>
      <c r="CD23" s="21">
        <v>44377</v>
      </c>
      <c r="CE23" s="22" t="str">
        <f t="shared" si="12"/>
        <v>4. Promove</v>
      </c>
      <c r="CF23" s="22" t="str">
        <f t="shared" si="13"/>
        <v>1. Personas capacitadas en Derecho de Autor y Derechos Conexos.</v>
      </c>
      <c r="CG23" s="22" t="str">
        <f t="shared" si="14"/>
        <v>1.1 Realización de programa de capacitación en derecho autor y conexos de forma presencial y virtual</v>
      </c>
      <c r="CH23" s="22" t="str">
        <f t="shared" si="15"/>
        <v xml:space="preserve">Producto </v>
      </c>
      <c r="CI23" s="22" t="str">
        <f t="shared" si="16"/>
        <v>Producto</v>
      </c>
      <c r="CJ23" s="273">
        <f t="shared" si="17"/>
        <v>0.33333666666666667</v>
      </c>
      <c r="CK23" s="273">
        <f t="shared" si="18"/>
        <v>0.11111222222222222</v>
      </c>
      <c r="CL23" s="273">
        <f t="shared" si="28"/>
        <v>1.0000100000000001</v>
      </c>
      <c r="CM23" s="273">
        <f t="shared" si="29"/>
        <v>1.0000100000000001</v>
      </c>
      <c r="CN23" s="23"/>
      <c r="CO23" s="273">
        <f t="shared" si="21"/>
        <v>1.0000100000000001</v>
      </c>
      <c r="CP23" s="273">
        <f t="shared" si="22"/>
        <v>0.66667333333333334</v>
      </c>
      <c r="CQ23" s="273">
        <f t="shared" si="23"/>
        <v>1.0000100000000001</v>
      </c>
      <c r="CR23" s="273">
        <f t="shared" si="24"/>
        <v>1.0000100000000001</v>
      </c>
      <c r="CS23" s="273">
        <f t="shared" si="25"/>
        <v>1.0000100000000001</v>
      </c>
      <c r="CT23" s="273">
        <f t="shared" si="26"/>
        <v>1.0000100000000001</v>
      </c>
      <c r="CU23" s="273">
        <f t="shared" si="30"/>
        <v>1.0000100000000001</v>
      </c>
      <c r="CV23" s="25">
        <f t="shared" si="31"/>
        <v>1.0000100000000001</v>
      </c>
    </row>
    <row r="24" spans="1:100" s="274" customFormat="1" ht="162.75" hidden="1" customHeight="1" x14ac:dyDescent="0.2">
      <c r="A24" s="169" t="s">
        <v>13</v>
      </c>
      <c r="B24" s="22" t="s">
        <v>226</v>
      </c>
      <c r="C24" s="22"/>
      <c r="D24" s="22"/>
      <c r="E24" s="22"/>
      <c r="F24" s="22"/>
      <c r="G24" s="22"/>
      <c r="H24" s="90" t="s">
        <v>248</v>
      </c>
      <c r="I24" s="90" t="s">
        <v>340</v>
      </c>
      <c r="J24" s="90" t="s">
        <v>345</v>
      </c>
      <c r="K24" s="90" t="s">
        <v>100</v>
      </c>
      <c r="L24" s="22" t="s">
        <v>76</v>
      </c>
      <c r="M24" s="22" t="s">
        <v>71</v>
      </c>
      <c r="N24" s="91">
        <v>78030</v>
      </c>
      <c r="O24" s="91">
        <v>60000</v>
      </c>
      <c r="P24" s="91">
        <v>60000</v>
      </c>
      <c r="Q24" s="91">
        <v>60000</v>
      </c>
      <c r="R24" s="91">
        <v>60000</v>
      </c>
      <c r="S24" s="91">
        <v>240000</v>
      </c>
      <c r="T24" s="22" t="s">
        <v>72</v>
      </c>
      <c r="U24" s="91">
        <v>86250</v>
      </c>
      <c r="V24" s="91">
        <v>20208</v>
      </c>
      <c r="W24" s="91">
        <v>46158</v>
      </c>
      <c r="X24" s="91">
        <v>79957</v>
      </c>
      <c r="Y24" s="92">
        <v>104006</v>
      </c>
      <c r="Z24" s="92">
        <v>104006</v>
      </c>
      <c r="AA24" s="92">
        <v>20019</v>
      </c>
      <c r="AB24" s="97">
        <v>42859</v>
      </c>
      <c r="AC24" s="182"/>
      <c r="AD24" s="182"/>
      <c r="AE24" s="182"/>
      <c r="AF24" s="182"/>
      <c r="AG24" s="104" t="s">
        <v>574</v>
      </c>
      <c r="AH24" s="104" t="s">
        <v>597</v>
      </c>
      <c r="AI24" s="192"/>
      <c r="AJ24" s="192"/>
      <c r="AK24" s="192"/>
      <c r="AL24" s="194"/>
      <c r="AM24" s="103">
        <v>1.0000100000000001</v>
      </c>
      <c r="AN24" s="103">
        <v>1.0000100000000001</v>
      </c>
      <c r="AO24" s="109" t="s">
        <v>286</v>
      </c>
      <c r="AP24" s="109" t="s">
        <v>446</v>
      </c>
      <c r="AQ24" s="90" t="s">
        <v>100</v>
      </c>
      <c r="AR24" s="22" t="s">
        <v>8</v>
      </c>
      <c r="AS24" s="22" t="s">
        <v>71</v>
      </c>
      <c r="AT24" s="91">
        <v>78030</v>
      </c>
      <c r="AU24" s="91" t="s">
        <v>72</v>
      </c>
      <c r="AV24" s="21">
        <v>43466</v>
      </c>
      <c r="AW24" s="21">
        <v>44926</v>
      </c>
      <c r="AX24" s="111">
        <v>60000</v>
      </c>
      <c r="AY24" s="91">
        <v>60000</v>
      </c>
      <c r="AZ24" s="111">
        <v>60000</v>
      </c>
      <c r="BA24" s="111">
        <v>60000</v>
      </c>
      <c r="BB24" s="91">
        <v>240000</v>
      </c>
      <c r="BC24" s="91">
        <v>86250</v>
      </c>
      <c r="BD24" s="91">
        <v>20208</v>
      </c>
      <c r="BE24" s="91">
        <v>46158</v>
      </c>
      <c r="BF24" s="91">
        <v>79957</v>
      </c>
      <c r="BG24" s="92">
        <v>104006</v>
      </c>
      <c r="BH24" s="92">
        <v>104006</v>
      </c>
      <c r="BI24" s="92">
        <v>20019</v>
      </c>
      <c r="BJ24" s="97">
        <v>42859</v>
      </c>
      <c r="BK24" s="182"/>
      <c r="BL24" s="182"/>
      <c r="BM24" s="182"/>
      <c r="BN24" s="182"/>
      <c r="BO24" s="154" t="s">
        <v>574</v>
      </c>
      <c r="BP24" s="154" t="s">
        <v>597</v>
      </c>
      <c r="BQ24" s="212"/>
      <c r="BR24" s="155"/>
      <c r="BS24" s="192"/>
      <c r="BT24" s="20">
        <v>498961154</v>
      </c>
      <c r="BU24" s="214"/>
      <c r="BV24" s="214"/>
      <c r="BW24" s="177"/>
      <c r="BX24" s="177"/>
      <c r="BY24" s="315">
        <v>1.0000100000000001</v>
      </c>
      <c r="BZ24" s="315">
        <v>1.0000100000000001</v>
      </c>
      <c r="CA24" s="192"/>
      <c r="CB24" s="104"/>
      <c r="CC24" s="272"/>
      <c r="CD24" s="21">
        <v>44377</v>
      </c>
      <c r="CE24" s="22" t="str">
        <f t="shared" si="12"/>
        <v>1. Garanti</v>
      </c>
      <c r="CF24" s="22" t="str">
        <f t="shared" si="13"/>
        <v>2. Fortalecer el registro de obras actos y contratos</v>
      </c>
      <c r="CG24" s="22" t="str">
        <f t="shared" si="14"/>
        <v>2.1 Prestación del servicio de registro de obras, fonogramas, actos y contratos, de forma física y v</v>
      </c>
      <c r="CH24" s="22" t="str">
        <f t="shared" si="15"/>
        <v xml:space="preserve">Producto </v>
      </c>
      <c r="CI24" s="22" t="str">
        <f t="shared" si="16"/>
        <v>Producto</v>
      </c>
      <c r="CJ24" s="273">
        <f t="shared" si="17"/>
        <v>0.33333666666666667</v>
      </c>
      <c r="CK24" s="273">
        <f t="shared" si="18"/>
        <v>0.25000250000000002</v>
      </c>
      <c r="CL24" s="273">
        <f t="shared" si="28"/>
        <v>1.0000100000000001</v>
      </c>
      <c r="CM24" s="273">
        <f t="shared" si="29"/>
        <v>1.0000100000000001</v>
      </c>
      <c r="CN24" s="23"/>
      <c r="CO24" s="273">
        <f t="shared" si="21"/>
        <v>1.0000100000000001</v>
      </c>
      <c r="CP24" s="273">
        <f t="shared" si="22"/>
        <v>0.66667333333333334</v>
      </c>
      <c r="CQ24" s="273">
        <f t="shared" si="23"/>
        <v>1.0000100000000001</v>
      </c>
      <c r="CR24" s="273">
        <f t="shared" si="24"/>
        <v>1.0000100000000001</v>
      </c>
      <c r="CS24" s="273">
        <f t="shared" si="25"/>
        <v>1.0000100000000001</v>
      </c>
      <c r="CT24" s="273">
        <f t="shared" si="26"/>
        <v>1.0000100000000001</v>
      </c>
      <c r="CU24" s="273">
        <f t="shared" si="30"/>
        <v>1.0000100000000001</v>
      </c>
      <c r="CV24" s="25">
        <f t="shared" si="31"/>
        <v>1.0000100000000001</v>
      </c>
    </row>
    <row r="25" spans="1:100" s="274" customFormat="1" ht="162.75" hidden="1" customHeight="1" x14ac:dyDescent="0.2">
      <c r="A25" s="169" t="s">
        <v>13</v>
      </c>
      <c r="B25" s="22" t="s">
        <v>226</v>
      </c>
      <c r="C25" s="22"/>
      <c r="D25" s="22"/>
      <c r="E25" s="22"/>
      <c r="F25" s="22"/>
      <c r="G25" s="22"/>
      <c r="H25" s="163" t="s">
        <v>253</v>
      </c>
      <c r="I25" s="90" t="s">
        <v>260</v>
      </c>
      <c r="J25" s="90" t="s">
        <v>185</v>
      </c>
      <c r="K25" s="90" t="s">
        <v>206</v>
      </c>
      <c r="L25" s="22" t="s">
        <v>76</v>
      </c>
      <c r="M25" s="22" t="s">
        <v>71</v>
      </c>
      <c r="N25" s="91" t="s">
        <v>101</v>
      </c>
      <c r="O25" s="141">
        <f>1/7</f>
        <v>0.14285714285714285</v>
      </c>
      <c r="P25" s="141">
        <f>2/7</f>
        <v>0.2857142857142857</v>
      </c>
      <c r="Q25" s="141">
        <f>3/7</f>
        <v>0.42857142857142855</v>
      </c>
      <c r="R25" s="141">
        <f>1/7</f>
        <v>0.14285714285714285</v>
      </c>
      <c r="S25" s="164">
        <f>+O25+P25+Q25+R25</f>
        <v>1</v>
      </c>
      <c r="T25" s="22" t="s">
        <v>77</v>
      </c>
      <c r="U25" s="279">
        <v>0.14000000000000001</v>
      </c>
      <c r="V25" s="279">
        <v>0</v>
      </c>
      <c r="W25" s="279">
        <v>0.14000000000000001</v>
      </c>
      <c r="X25" s="279">
        <v>0</v>
      </c>
      <c r="Y25" s="279">
        <v>0.14000000000000001</v>
      </c>
      <c r="Z25" s="279">
        <v>0.28000000000000003</v>
      </c>
      <c r="AA25" s="279">
        <v>0</v>
      </c>
      <c r="AB25" s="280">
        <f>28%*(0.43)</f>
        <v>0.12040000000000001</v>
      </c>
      <c r="AC25" s="310"/>
      <c r="AD25" s="311"/>
      <c r="AE25" s="312"/>
      <c r="AF25" s="310"/>
      <c r="AG25" s="109" t="s">
        <v>598</v>
      </c>
      <c r="AH25" s="104"/>
      <c r="AI25" s="133"/>
      <c r="AJ25" s="133"/>
      <c r="AK25" s="133"/>
      <c r="AL25" s="8"/>
      <c r="AM25" s="103">
        <v>0.28093333333333337</v>
      </c>
      <c r="AN25" s="103">
        <v>0.54039999999999999</v>
      </c>
      <c r="AO25" s="109" t="s">
        <v>478</v>
      </c>
      <c r="AP25" s="109" t="s">
        <v>514</v>
      </c>
      <c r="AQ25" s="90" t="s">
        <v>364</v>
      </c>
      <c r="AR25" s="22" t="s">
        <v>8</v>
      </c>
      <c r="AS25" s="22" t="s">
        <v>71</v>
      </c>
      <c r="AT25" s="110" t="s">
        <v>101</v>
      </c>
      <c r="AU25" s="22" t="s">
        <v>162</v>
      </c>
      <c r="AV25" s="21">
        <v>43466</v>
      </c>
      <c r="AW25" s="21">
        <v>44926</v>
      </c>
      <c r="AX25" s="141">
        <f>1/7</f>
        <v>0.14285714285714285</v>
      </c>
      <c r="AY25" s="141">
        <f>2/7</f>
        <v>0.2857142857142857</v>
      </c>
      <c r="AZ25" s="141">
        <f>3/7</f>
        <v>0.42857142857142855</v>
      </c>
      <c r="BA25" s="141">
        <f>1/7</f>
        <v>0.14285714285714285</v>
      </c>
      <c r="BB25" s="164">
        <f>+AX25+AY25+AZ25+BA25</f>
        <v>1</v>
      </c>
      <c r="BC25" s="92">
        <v>0</v>
      </c>
      <c r="BD25" s="92">
        <v>0</v>
      </c>
      <c r="BE25" s="92">
        <v>0</v>
      </c>
      <c r="BF25" s="92">
        <v>0</v>
      </c>
      <c r="BG25" s="92">
        <v>0</v>
      </c>
      <c r="BH25" s="92">
        <v>0</v>
      </c>
      <c r="BI25" s="92"/>
      <c r="BJ25" s="98"/>
      <c r="BK25" s="208"/>
      <c r="BL25" s="208"/>
      <c r="BM25" s="237"/>
      <c r="BN25" s="237"/>
      <c r="BO25" s="154"/>
      <c r="BP25" s="154"/>
      <c r="BQ25" s="212"/>
      <c r="BR25" s="155"/>
      <c r="BS25" s="192"/>
      <c r="BT25" s="20">
        <v>0</v>
      </c>
      <c r="BU25" s="214"/>
      <c r="BV25" s="214"/>
      <c r="BW25" s="177"/>
      <c r="BX25" s="177"/>
      <c r="BY25" s="315" t="s">
        <v>585</v>
      </c>
      <c r="BZ25" s="315">
        <v>0</v>
      </c>
      <c r="CA25" s="192"/>
      <c r="CB25" s="104" t="s">
        <v>573</v>
      </c>
      <c r="CC25" s="272"/>
      <c r="CD25" s="21">
        <v>44377</v>
      </c>
      <c r="CE25" s="22" t="str">
        <f t="shared" si="12"/>
        <v>6. Fortale</v>
      </c>
      <c r="CF25" s="22" t="str">
        <f t="shared" si="13"/>
        <v xml:space="preserve">3. Porcentaje de ejecución de la reforma de planta de personal de la Dirección Nacional de Derechos </v>
      </c>
      <c r="CG25" s="22" t="str">
        <f t="shared" si="14"/>
        <v>3.1 Atender los requerimientos de las entidades que participan en el proceso de reforma instituciona</v>
      </c>
      <c r="CH25" s="22" t="str">
        <f t="shared" si="15"/>
        <v xml:space="preserve">Producto </v>
      </c>
      <c r="CI25" s="22" t="str">
        <f t="shared" si="16"/>
        <v>Producto</v>
      </c>
      <c r="CJ25" s="273">
        <f t="shared" si="17"/>
        <v>9.3644444444444461E-2</v>
      </c>
      <c r="CK25" s="273">
        <f t="shared" si="18"/>
        <v>2.5539393939393942E-2</v>
      </c>
      <c r="CL25" s="273">
        <f t="shared" si="28"/>
        <v>0</v>
      </c>
      <c r="CM25" s="273">
        <f t="shared" si="29"/>
        <v>0</v>
      </c>
      <c r="CN25" s="23"/>
      <c r="CO25" s="273">
        <f t="shared" si="21"/>
        <v>1.0000100000000001</v>
      </c>
      <c r="CP25" s="273">
        <f t="shared" si="22"/>
        <v>0.66667333333333334</v>
      </c>
      <c r="CQ25" s="273" t="str">
        <f t="shared" si="23"/>
        <v/>
      </c>
      <c r="CR25" s="273">
        <f t="shared" si="24"/>
        <v>0</v>
      </c>
      <c r="CS25" s="273" t="str">
        <f t="shared" si="25"/>
        <v/>
      </c>
      <c r="CT25" s="273">
        <f t="shared" si="26"/>
        <v>0.28093333333333337</v>
      </c>
      <c r="CU25" s="273">
        <f t="shared" si="30"/>
        <v>0</v>
      </c>
      <c r="CV25" s="25"/>
    </row>
    <row r="26" spans="1:100" s="274" customFormat="1" ht="86.1" hidden="1" customHeight="1" x14ac:dyDescent="0.2">
      <c r="A26" s="22" t="s">
        <v>14</v>
      </c>
      <c r="B26" s="22" t="s">
        <v>616</v>
      </c>
      <c r="C26" s="22" t="s">
        <v>102</v>
      </c>
      <c r="D26" s="22" t="s">
        <v>68</v>
      </c>
      <c r="E26" s="22" t="s">
        <v>103</v>
      </c>
      <c r="F26" s="22" t="s">
        <v>68</v>
      </c>
      <c r="G26" s="22" t="s">
        <v>141</v>
      </c>
      <c r="H26" s="90" t="s">
        <v>248</v>
      </c>
      <c r="I26" s="90" t="s">
        <v>261</v>
      </c>
      <c r="J26" s="90" t="s">
        <v>183</v>
      </c>
      <c r="K26" s="90" t="s">
        <v>479</v>
      </c>
      <c r="L26" s="22" t="s">
        <v>76</v>
      </c>
      <c r="M26" s="22" t="s">
        <v>88</v>
      </c>
      <c r="N26" s="91">
        <v>2</v>
      </c>
      <c r="O26" s="92">
        <v>0</v>
      </c>
      <c r="P26" s="91">
        <v>3</v>
      </c>
      <c r="Q26" s="91">
        <v>6</v>
      </c>
      <c r="R26" s="91">
        <v>10</v>
      </c>
      <c r="S26" s="91">
        <v>10</v>
      </c>
      <c r="T26" s="22" t="s">
        <v>72</v>
      </c>
      <c r="U26" s="92"/>
      <c r="V26" s="92">
        <v>0</v>
      </c>
      <c r="W26" s="22">
        <v>3</v>
      </c>
      <c r="X26" s="96">
        <v>3</v>
      </c>
      <c r="Y26" s="96">
        <v>4</v>
      </c>
      <c r="Z26" s="96">
        <v>4</v>
      </c>
      <c r="AA26" s="96">
        <v>4</v>
      </c>
      <c r="AB26" s="277">
        <v>1</v>
      </c>
      <c r="AC26" s="184"/>
      <c r="AD26" s="184"/>
      <c r="AE26" s="183"/>
      <c r="AF26" s="183"/>
      <c r="AG26" s="104" t="s">
        <v>454</v>
      </c>
      <c r="AH26" s="104" t="s">
        <v>599</v>
      </c>
      <c r="AI26" s="192"/>
      <c r="AJ26" s="192"/>
      <c r="AK26" s="192"/>
      <c r="AL26" s="194"/>
      <c r="AM26" s="103">
        <v>0.83333333333333337</v>
      </c>
      <c r="AN26" s="103">
        <v>0.4</v>
      </c>
      <c r="AO26" s="109" t="s">
        <v>287</v>
      </c>
      <c r="AP26" s="109" t="s">
        <v>173</v>
      </c>
      <c r="AQ26" s="90" t="s">
        <v>209</v>
      </c>
      <c r="AR26" s="22" t="s">
        <v>9</v>
      </c>
      <c r="AS26" s="22" t="s">
        <v>88</v>
      </c>
      <c r="AT26" s="91">
        <v>2</v>
      </c>
      <c r="AU26" s="22" t="s">
        <v>161</v>
      </c>
      <c r="AV26" s="21">
        <v>43831</v>
      </c>
      <c r="AW26" s="21">
        <v>44926</v>
      </c>
      <c r="AX26" s="92">
        <v>0</v>
      </c>
      <c r="AY26" s="112">
        <v>3</v>
      </c>
      <c r="AZ26" s="112">
        <v>6</v>
      </c>
      <c r="BA26" s="112">
        <v>10</v>
      </c>
      <c r="BB26" s="112">
        <v>10</v>
      </c>
      <c r="BC26" s="92">
        <v>0</v>
      </c>
      <c r="BD26" s="92">
        <v>0</v>
      </c>
      <c r="BE26" s="22">
        <v>3</v>
      </c>
      <c r="BF26" s="96">
        <v>3</v>
      </c>
      <c r="BG26" s="96">
        <v>4</v>
      </c>
      <c r="BH26" s="96">
        <v>4</v>
      </c>
      <c r="BI26" s="96">
        <v>4</v>
      </c>
      <c r="BJ26" s="96">
        <v>5</v>
      </c>
      <c r="BK26" s="184"/>
      <c r="BL26" s="184"/>
      <c r="BM26" s="184"/>
      <c r="BN26" s="184"/>
      <c r="BO26" s="154" t="s">
        <v>454</v>
      </c>
      <c r="BP26" s="154" t="s">
        <v>599</v>
      </c>
      <c r="BQ26" s="212"/>
      <c r="BR26" s="155"/>
      <c r="BS26" s="192"/>
      <c r="BT26" s="20">
        <v>0</v>
      </c>
      <c r="BU26" s="214"/>
      <c r="BV26" s="214"/>
      <c r="BW26" s="177"/>
      <c r="BX26" s="177"/>
      <c r="BY26" s="315">
        <v>0.83333333333333337</v>
      </c>
      <c r="BZ26" s="315">
        <v>0.4</v>
      </c>
      <c r="CA26" s="192"/>
      <c r="CB26" s="104"/>
      <c r="CC26" s="272"/>
      <c r="CD26" s="21">
        <v>44377</v>
      </c>
      <c r="CE26" s="22" t="str">
        <f t="shared" si="12"/>
        <v>1. Garanti</v>
      </c>
      <c r="CF26" s="22" t="str">
        <f t="shared" si="13"/>
        <v>1. Apoyar la mejora normativa del país a través del observatorio Nacional de mejora normativa</v>
      </c>
      <c r="CG26" s="22" t="str">
        <f t="shared" si="14"/>
        <v>1.1 Representar al sector interior en el Comité Nacional de Mejora Normativa para aportar a la segur</v>
      </c>
      <c r="CH26" s="22" t="str">
        <f t="shared" si="15"/>
        <v xml:space="preserve">Producto </v>
      </c>
      <c r="CI26" s="22" t="str">
        <f t="shared" si="16"/>
        <v>Gestión</v>
      </c>
      <c r="CJ26" s="273">
        <f t="shared" si="17"/>
        <v>0.1388888888888889</v>
      </c>
      <c r="CK26" s="273">
        <f t="shared" si="18"/>
        <v>0.20833333333333334</v>
      </c>
      <c r="CL26" s="273">
        <f t="shared" si="28"/>
        <v>0.83333333333333337</v>
      </c>
      <c r="CM26" s="273">
        <f t="shared" si="29"/>
        <v>0.4</v>
      </c>
      <c r="CN26" s="23"/>
      <c r="CO26" s="273">
        <f t="shared" si="21"/>
        <v>0.76666666666666672</v>
      </c>
      <c r="CP26" s="273">
        <f t="shared" si="22"/>
        <v>0.48333333333333323</v>
      </c>
      <c r="CQ26" s="273">
        <f t="shared" si="23"/>
        <v>0.94444444444444453</v>
      </c>
      <c r="CR26" s="273">
        <f t="shared" si="24"/>
        <v>0.79999999999999993</v>
      </c>
      <c r="CS26" s="273">
        <f t="shared" si="25"/>
        <v>0.83333333333333337</v>
      </c>
      <c r="CT26" s="273">
        <f t="shared" si="26"/>
        <v>0.83333333333333337</v>
      </c>
      <c r="CU26" s="273">
        <f t="shared" si="30"/>
        <v>0.83333333333333337</v>
      </c>
      <c r="CV26" s="25">
        <f>+IFERROR(IF(CG26&lt;&gt;#REF!,IF(OR(BZ26="No aplica, no hay meta",BZ26="No aplica"),"",IF(ISTEXT(BZ26)=TRUE,0,IF(BZ26&gt;1,1.00001,BZ26))),""),0)</f>
        <v>0</v>
      </c>
    </row>
    <row r="27" spans="1:100" s="274" customFormat="1" ht="86.1" hidden="1" customHeight="1" x14ac:dyDescent="0.2">
      <c r="A27" s="22" t="s">
        <v>14</v>
      </c>
      <c r="B27" s="22" t="s">
        <v>617</v>
      </c>
      <c r="C27" s="22" t="s">
        <v>102</v>
      </c>
      <c r="D27" s="22" t="s">
        <v>68</v>
      </c>
      <c r="E27" s="22" t="s">
        <v>103</v>
      </c>
      <c r="F27" s="22" t="s">
        <v>68</v>
      </c>
      <c r="G27" s="22"/>
      <c r="H27" s="90" t="s">
        <v>248</v>
      </c>
      <c r="I27" s="90" t="s">
        <v>262</v>
      </c>
      <c r="J27" s="90" t="s">
        <v>339</v>
      </c>
      <c r="K27" s="90" t="s">
        <v>105</v>
      </c>
      <c r="L27" s="22" t="s">
        <v>70</v>
      </c>
      <c r="M27" s="22" t="s">
        <v>88</v>
      </c>
      <c r="N27" s="97">
        <v>1200</v>
      </c>
      <c r="O27" s="97">
        <v>0</v>
      </c>
      <c r="P27" s="97">
        <v>1200</v>
      </c>
      <c r="Q27" s="97">
        <v>4637</v>
      </c>
      <c r="R27" s="97">
        <v>4637</v>
      </c>
      <c r="S27" s="97">
        <v>4637</v>
      </c>
      <c r="T27" s="22" t="s">
        <v>72</v>
      </c>
      <c r="U27" s="92">
        <v>0</v>
      </c>
      <c r="V27" s="92">
        <v>0</v>
      </c>
      <c r="W27" s="91">
        <v>4637</v>
      </c>
      <c r="X27" s="91">
        <v>4637</v>
      </c>
      <c r="Y27" s="91">
        <v>4637</v>
      </c>
      <c r="Z27" s="91">
        <v>4637</v>
      </c>
      <c r="AA27" s="91">
        <v>4637</v>
      </c>
      <c r="AB27" s="108">
        <v>4637</v>
      </c>
      <c r="AC27" s="185"/>
      <c r="AD27" s="185"/>
      <c r="AE27" s="182"/>
      <c r="AF27" s="182"/>
      <c r="AG27" s="104" t="s">
        <v>455</v>
      </c>
      <c r="AH27" s="104" t="s">
        <v>455</v>
      </c>
      <c r="AI27" s="192"/>
      <c r="AJ27" s="192"/>
      <c r="AK27" s="192"/>
      <c r="AL27" s="194"/>
      <c r="AM27" s="103">
        <v>1</v>
      </c>
      <c r="AN27" s="103">
        <v>1</v>
      </c>
      <c r="AO27" s="109" t="s">
        <v>288</v>
      </c>
      <c r="AP27" s="109" t="s">
        <v>174</v>
      </c>
      <c r="AQ27" s="90" t="s">
        <v>210</v>
      </c>
      <c r="AR27" s="22" t="s">
        <v>9</v>
      </c>
      <c r="AS27" s="22" t="s">
        <v>88</v>
      </c>
      <c r="AT27" s="112">
        <v>1200</v>
      </c>
      <c r="AU27" s="22" t="s">
        <v>161</v>
      </c>
      <c r="AV27" s="21">
        <v>43831</v>
      </c>
      <c r="AW27" s="21">
        <v>44926</v>
      </c>
      <c r="AX27" s="92">
        <v>0</v>
      </c>
      <c r="AY27" s="91">
        <v>1200</v>
      </c>
      <c r="AZ27" s="91">
        <v>4637</v>
      </c>
      <c r="BA27" s="91">
        <v>4637</v>
      </c>
      <c r="BB27" s="91">
        <v>4637</v>
      </c>
      <c r="BC27" s="92">
        <v>0</v>
      </c>
      <c r="BD27" s="92">
        <v>0</v>
      </c>
      <c r="BE27" s="91">
        <v>4637</v>
      </c>
      <c r="BF27" s="91">
        <v>4637</v>
      </c>
      <c r="BG27" s="91">
        <v>4637</v>
      </c>
      <c r="BH27" s="91">
        <v>4637</v>
      </c>
      <c r="BI27" s="91">
        <v>4637</v>
      </c>
      <c r="BJ27" s="91">
        <v>4637</v>
      </c>
      <c r="BK27" s="185"/>
      <c r="BL27" s="185"/>
      <c r="BM27" s="185"/>
      <c r="BN27" s="185"/>
      <c r="BO27" s="154" t="s">
        <v>455</v>
      </c>
      <c r="BP27" s="154"/>
      <c r="BQ27" s="212"/>
      <c r="BR27" s="155"/>
      <c r="BS27" s="192"/>
      <c r="BT27" s="20">
        <v>0</v>
      </c>
      <c r="BU27" s="214"/>
      <c r="BV27" s="214"/>
      <c r="BW27" s="177"/>
      <c r="BX27" s="177"/>
      <c r="BY27" s="315">
        <v>1</v>
      </c>
      <c r="BZ27" s="315">
        <v>1</v>
      </c>
      <c r="CA27" s="192"/>
      <c r="CB27" s="104"/>
      <c r="CC27" s="272"/>
      <c r="CD27" s="21">
        <v>44377</v>
      </c>
      <c r="CE27" s="22" t="str">
        <f t="shared" si="12"/>
        <v>1. Garanti</v>
      </c>
      <c r="CF27" s="22" t="str">
        <f t="shared" si="13"/>
        <v>2. Garantizar el principio constitucional de publicidad de las normas y así contribuir a la segurida</v>
      </c>
      <c r="CG27" s="22" t="str">
        <f t="shared" si="14"/>
        <v>2.1 Modernizar el Diario Oficial a través de su transformación digital para garantizar su difusión e</v>
      </c>
      <c r="CH27" s="22" t="str">
        <f t="shared" si="15"/>
        <v xml:space="preserve">Resultado </v>
      </c>
      <c r="CI27" s="22" t="str">
        <f t="shared" si="16"/>
        <v>Gestión</v>
      </c>
      <c r="CJ27" s="273" t="str">
        <f t="shared" si="17"/>
        <v/>
      </c>
      <c r="CK27" s="273">
        <f t="shared" si="18"/>
        <v>0.25</v>
      </c>
      <c r="CL27" s="273">
        <f t="shared" ref="CL27:CL71" si="35">+IFERROR(IF(CG27&lt;&gt;CG26,IF(BY27/(COUNTIF(CF:CF,CF27))&gt;1,1.00001,BY27/(COUNTIF(CF:CF,CF27))),""),0)</f>
        <v>0.5</v>
      </c>
      <c r="CM27" s="273">
        <f t="shared" ref="CM27:CM71" si="36">+IFERROR(IF(CG27&lt;&gt;CG26,IF(BZ27/(COUNTIF(CF:CF,CF27))&gt;1,1.00001,BZ27/(COUNTIF(CF:CF,CF27))),""),0)</f>
        <v>0.5</v>
      </c>
      <c r="CN27" s="23"/>
      <c r="CO27" s="273">
        <f t="shared" si="21"/>
        <v>0.76666666666666672</v>
      </c>
      <c r="CP27" s="273">
        <f t="shared" si="22"/>
        <v>0.48333333333333323</v>
      </c>
      <c r="CQ27" s="273">
        <f t="shared" si="23"/>
        <v>0.94444444444444453</v>
      </c>
      <c r="CR27" s="273">
        <f t="shared" si="24"/>
        <v>0.79999999999999993</v>
      </c>
      <c r="CS27" s="273">
        <f t="shared" si="25"/>
        <v>1</v>
      </c>
      <c r="CT27" s="273">
        <f t="shared" si="26"/>
        <v>1</v>
      </c>
      <c r="CU27" s="273">
        <f t="shared" si="30"/>
        <v>1</v>
      </c>
      <c r="CV27" s="25">
        <f t="shared" si="31"/>
        <v>1</v>
      </c>
    </row>
    <row r="28" spans="1:100" s="274" customFormat="1" ht="86.1" hidden="1" customHeight="1" x14ac:dyDescent="0.2">
      <c r="A28" s="22" t="s">
        <v>14</v>
      </c>
      <c r="B28" s="22" t="s">
        <v>617</v>
      </c>
      <c r="C28" s="22" t="s">
        <v>102</v>
      </c>
      <c r="D28" s="22" t="s">
        <v>68</v>
      </c>
      <c r="E28" s="22" t="s">
        <v>103</v>
      </c>
      <c r="F28" s="22" t="s">
        <v>68</v>
      </c>
      <c r="G28" s="22"/>
      <c r="H28" s="90" t="s">
        <v>248</v>
      </c>
      <c r="I28" s="90" t="s">
        <v>262</v>
      </c>
      <c r="J28" s="90" t="s">
        <v>339</v>
      </c>
      <c r="K28" s="90" t="s">
        <v>105</v>
      </c>
      <c r="L28" s="22" t="s">
        <v>70</v>
      </c>
      <c r="M28" s="22" t="s">
        <v>88</v>
      </c>
      <c r="N28" s="91">
        <v>1200</v>
      </c>
      <c r="O28" s="92">
        <v>0</v>
      </c>
      <c r="P28" s="97">
        <v>1200</v>
      </c>
      <c r="Q28" s="97">
        <v>4637</v>
      </c>
      <c r="R28" s="97">
        <v>4637</v>
      </c>
      <c r="S28" s="91">
        <v>4637</v>
      </c>
      <c r="T28" s="22" t="s">
        <v>72</v>
      </c>
      <c r="U28" s="92"/>
      <c r="V28" s="92"/>
      <c r="W28" s="91"/>
      <c r="X28" s="91"/>
      <c r="Y28" s="91"/>
      <c r="Z28" s="91"/>
      <c r="AA28" s="98"/>
      <c r="AB28" s="281"/>
      <c r="AC28" s="17"/>
      <c r="AD28" s="17"/>
      <c r="AE28" s="129"/>
      <c r="AF28" s="129"/>
      <c r="AG28" s="104"/>
      <c r="AH28" s="104"/>
      <c r="AI28" s="133"/>
      <c r="AJ28" s="133"/>
      <c r="AK28" s="133"/>
      <c r="AL28" s="8"/>
      <c r="AM28" s="103" t="s">
        <v>584</v>
      </c>
      <c r="AN28" s="103" t="s">
        <v>584</v>
      </c>
      <c r="AO28" s="109" t="s">
        <v>289</v>
      </c>
      <c r="AP28" s="109" t="s">
        <v>175</v>
      </c>
      <c r="AQ28" s="90" t="s">
        <v>309</v>
      </c>
      <c r="AR28" s="22" t="s">
        <v>9</v>
      </c>
      <c r="AS28" s="22" t="s">
        <v>104</v>
      </c>
      <c r="AT28" s="98">
        <v>0.26</v>
      </c>
      <c r="AU28" s="22" t="s">
        <v>162</v>
      </c>
      <c r="AV28" s="21">
        <v>43831</v>
      </c>
      <c r="AW28" s="21">
        <v>44926</v>
      </c>
      <c r="AX28" s="94">
        <v>0</v>
      </c>
      <c r="AY28" s="94">
        <v>1</v>
      </c>
      <c r="AZ28" s="94">
        <v>1</v>
      </c>
      <c r="BA28" s="94">
        <v>1</v>
      </c>
      <c r="BB28" s="94">
        <v>1</v>
      </c>
      <c r="BC28" s="94">
        <v>0</v>
      </c>
      <c r="BD28" s="94">
        <v>0</v>
      </c>
      <c r="BE28" s="94">
        <v>1</v>
      </c>
      <c r="BF28" s="94">
        <v>1</v>
      </c>
      <c r="BG28" s="94">
        <v>1</v>
      </c>
      <c r="BH28" s="94">
        <v>1</v>
      </c>
      <c r="BI28" s="98">
        <v>1</v>
      </c>
      <c r="BJ28" s="98">
        <v>1</v>
      </c>
      <c r="BK28" s="177"/>
      <c r="BL28" s="177"/>
      <c r="BM28" s="177"/>
      <c r="BN28" s="177"/>
      <c r="BO28" s="154" t="s">
        <v>456</v>
      </c>
      <c r="BP28" s="154"/>
      <c r="BQ28" s="212"/>
      <c r="BR28" s="155"/>
      <c r="BS28" s="192"/>
      <c r="BT28" s="20">
        <v>0</v>
      </c>
      <c r="BU28" s="214"/>
      <c r="BV28" s="214"/>
      <c r="BW28" s="177"/>
      <c r="BX28" s="177"/>
      <c r="BY28" s="315">
        <v>1</v>
      </c>
      <c r="BZ28" s="315">
        <v>1</v>
      </c>
      <c r="CA28" s="192"/>
      <c r="CB28" s="104"/>
      <c r="CC28" s="272"/>
      <c r="CD28" s="21">
        <v>44377</v>
      </c>
      <c r="CE28" s="22" t="str">
        <f t="shared" si="12"/>
        <v>1. Garanti</v>
      </c>
      <c r="CF28" s="22" t="str">
        <f t="shared" si="13"/>
        <v>2. Garantizar el principio constitucional de publicidad de las normas y así contribuir a la segurida</v>
      </c>
      <c r="CG28" s="22" t="str">
        <f t="shared" si="14"/>
        <v>2.2 Fortalecer los procesos del sector del interior mediante su difusión en el Diario Oficial.</v>
      </c>
      <c r="CH28" s="22" t="str">
        <f t="shared" si="15"/>
        <v xml:space="preserve">Resultado </v>
      </c>
      <c r="CI28" s="22" t="str">
        <f t="shared" si="16"/>
        <v>Gestión</v>
      </c>
      <c r="CJ28" s="273" t="str">
        <f t="shared" si="17"/>
        <v/>
      </c>
      <c r="CK28" s="273" t="str">
        <f t="shared" si="18"/>
        <v/>
      </c>
      <c r="CL28" s="273">
        <f t="shared" si="35"/>
        <v>0.5</v>
      </c>
      <c r="CM28" s="273">
        <f t="shared" si="36"/>
        <v>0.5</v>
      </c>
      <c r="CN28" s="23"/>
      <c r="CO28" s="273">
        <f t="shared" si="21"/>
        <v>0.76666666666666672</v>
      </c>
      <c r="CP28" s="273">
        <f t="shared" si="22"/>
        <v>0.48333333333333323</v>
      </c>
      <c r="CQ28" s="273">
        <f t="shared" si="23"/>
        <v>0.94444444444444453</v>
      </c>
      <c r="CR28" s="273">
        <f t="shared" si="24"/>
        <v>0.79999999999999993</v>
      </c>
      <c r="CS28" s="273">
        <f t="shared" si="25"/>
        <v>1</v>
      </c>
      <c r="CT28" s="273" t="str">
        <f t="shared" si="26"/>
        <v/>
      </c>
      <c r="CU28" s="273">
        <f t="shared" si="30"/>
        <v>1</v>
      </c>
      <c r="CV28" s="25">
        <f t="shared" si="31"/>
        <v>1</v>
      </c>
    </row>
    <row r="29" spans="1:100" s="274" customFormat="1" ht="86.1" hidden="1" customHeight="1" x14ac:dyDescent="0.2">
      <c r="A29" s="22" t="s">
        <v>14</v>
      </c>
      <c r="B29" s="22" t="s">
        <v>617</v>
      </c>
      <c r="C29" s="22" t="s">
        <v>106</v>
      </c>
      <c r="D29" s="22" t="s">
        <v>68</v>
      </c>
      <c r="E29" s="22" t="s">
        <v>107</v>
      </c>
      <c r="F29" s="22" t="s">
        <v>68</v>
      </c>
      <c r="G29" s="22"/>
      <c r="H29" s="163" t="s">
        <v>253</v>
      </c>
      <c r="I29" s="90" t="s">
        <v>263</v>
      </c>
      <c r="J29" s="90" t="s">
        <v>368</v>
      </c>
      <c r="K29" s="90" t="s">
        <v>480</v>
      </c>
      <c r="L29" s="22" t="s">
        <v>76</v>
      </c>
      <c r="M29" s="22" t="s">
        <v>88</v>
      </c>
      <c r="N29" s="91" t="s">
        <v>101</v>
      </c>
      <c r="O29" s="92">
        <v>0</v>
      </c>
      <c r="P29" s="91">
        <v>2</v>
      </c>
      <c r="Q29" s="91">
        <v>3</v>
      </c>
      <c r="R29" s="91">
        <v>4</v>
      </c>
      <c r="S29" s="91">
        <v>4</v>
      </c>
      <c r="T29" s="22" t="s">
        <v>72</v>
      </c>
      <c r="U29" s="92">
        <v>0</v>
      </c>
      <c r="V29" s="92">
        <v>0</v>
      </c>
      <c r="W29" s="96">
        <v>2</v>
      </c>
      <c r="X29" s="96">
        <v>2</v>
      </c>
      <c r="Y29" s="96">
        <v>2</v>
      </c>
      <c r="Z29" s="96">
        <v>2</v>
      </c>
      <c r="AA29" s="96">
        <v>2</v>
      </c>
      <c r="AB29" s="277">
        <v>3</v>
      </c>
      <c r="AC29" s="184"/>
      <c r="AD29" s="184"/>
      <c r="AE29" s="183"/>
      <c r="AF29" s="183"/>
      <c r="AG29" s="104" t="s">
        <v>457</v>
      </c>
      <c r="AH29" s="104"/>
      <c r="AI29" s="133"/>
      <c r="AJ29" s="133"/>
      <c r="AK29" s="133"/>
      <c r="AL29" s="8"/>
      <c r="AM29" s="103">
        <v>1</v>
      </c>
      <c r="AN29" s="103">
        <v>0.5</v>
      </c>
      <c r="AO29" s="109" t="s">
        <v>290</v>
      </c>
      <c r="AP29" s="109" t="s">
        <v>176</v>
      </c>
      <c r="AQ29" s="90" t="s">
        <v>211</v>
      </c>
      <c r="AR29" s="22" t="s">
        <v>9</v>
      </c>
      <c r="AS29" s="22" t="s">
        <v>88</v>
      </c>
      <c r="AT29" s="110" t="s">
        <v>101</v>
      </c>
      <c r="AU29" s="22" t="s">
        <v>161</v>
      </c>
      <c r="AV29" s="21">
        <v>43831</v>
      </c>
      <c r="AW29" s="21">
        <v>44926</v>
      </c>
      <c r="AX29" s="92">
        <v>0</v>
      </c>
      <c r="AY29" s="112">
        <v>2</v>
      </c>
      <c r="AZ29" s="112">
        <v>3</v>
      </c>
      <c r="BA29" s="112">
        <v>4</v>
      </c>
      <c r="BB29" s="112">
        <v>4</v>
      </c>
      <c r="BC29" s="92">
        <v>0</v>
      </c>
      <c r="BD29" s="92">
        <v>0</v>
      </c>
      <c r="BE29" s="96">
        <v>2</v>
      </c>
      <c r="BF29" s="96">
        <v>2</v>
      </c>
      <c r="BG29" s="96">
        <v>2</v>
      </c>
      <c r="BH29" s="96">
        <v>2</v>
      </c>
      <c r="BI29" s="96">
        <v>2</v>
      </c>
      <c r="BJ29" s="96">
        <v>3</v>
      </c>
      <c r="BK29" s="184"/>
      <c r="BL29" s="184"/>
      <c r="BM29" s="184"/>
      <c r="BN29" s="184"/>
      <c r="BO29" s="154" t="s">
        <v>457</v>
      </c>
      <c r="BP29" s="154"/>
      <c r="BQ29" s="212"/>
      <c r="BR29" s="155"/>
      <c r="BS29" s="192"/>
      <c r="BT29" s="20">
        <v>0</v>
      </c>
      <c r="BU29" s="214"/>
      <c r="BV29" s="214"/>
      <c r="BW29" s="177"/>
      <c r="BX29" s="177"/>
      <c r="BY29" s="315">
        <v>1</v>
      </c>
      <c r="BZ29" s="315">
        <v>0.5</v>
      </c>
      <c r="CA29" s="192"/>
      <c r="CB29" s="104"/>
      <c r="CC29" s="272"/>
      <c r="CD29" s="21">
        <v>44377</v>
      </c>
      <c r="CE29" s="22" t="str">
        <f t="shared" si="12"/>
        <v>6. Fortale</v>
      </c>
      <c r="CF29" s="22" t="str">
        <f t="shared" si="13"/>
        <v>3. Fortalecer la comunicación del sector interior en temas relacionados con la prevención y protecci</v>
      </c>
      <c r="CG29" s="22" t="str">
        <f t="shared" si="14"/>
        <v>3.1 Poner la capacidad de la INC al servicio de las entidades para que a partir de publicaciones con</v>
      </c>
      <c r="CH29" s="22" t="str">
        <f t="shared" si="15"/>
        <v xml:space="preserve">Producto </v>
      </c>
      <c r="CI29" s="22" t="str">
        <f t="shared" si="16"/>
        <v>Gestión</v>
      </c>
      <c r="CJ29" s="273">
        <f t="shared" si="17"/>
        <v>0.16666666666666666</v>
      </c>
      <c r="CK29" s="273">
        <f t="shared" si="18"/>
        <v>9.0909090909090912E-2</v>
      </c>
      <c r="CL29" s="273">
        <f t="shared" si="35"/>
        <v>0.5</v>
      </c>
      <c r="CM29" s="273">
        <f t="shared" si="36"/>
        <v>0.25</v>
      </c>
      <c r="CN29" s="23"/>
      <c r="CO29" s="273">
        <f t="shared" si="21"/>
        <v>0.76666666666666672</v>
      </c>
      <c r="CP29" s="273">
        <f t="shared" si="22"/>
        <v>0.48333333333333323</v>
      </c>
      <c r="CQ29" s="273">
        <f t="shared" si="23"/>
        <v>0.5</v>
      </c>
      <c r="CR29" s="273">
        <f t="shared" si="24"/>
        <v>0.16666666666666666</v>
      </c>
      <c r="CS29" s="273">
        <f t="shared" si="25"/>
        <v>1</v>
      </c>
      <c r="CT29" s="273">
        <f t="shared" si="26"/>
        <v>1</v>
      </c>
      <c r="CU29" s="273">
        <f t="shared" si="30"/>
        <v>1</v>
      </c>
      <c r="CV29" s="25">
        <f t="shared" si="31"/>
        <v>0.5</v>
      </c>
    </row>
    <row r="30" spans="1:100" s="274" customFormat="1" ht="86.1" hidden="1" customHeight="1" x14ac:dyDescent="0.2">
      <c r="A30" s="22" t="s">
        <v>14</v>
      </c>
      <c r="B30" s="22" t="s">
        <v>617</v>
      </c>
      <c r="C30" s="22" t="s">
        <v>106</v>
      </c>
      <c r="D30" s="22" t="s">
        <v>68</v>
      </c>
      <c r="E30" s="22" t="s">
        <v>107</v>
      </c>
      <c r="F30" s="22" t="s">
        <v>68</v>
      </c>
      <c r="G30" s="22"/>
      <c r="H30" s="163" t="s">
        <v>253</v>
      </c>
      <c r="I30" s="90" t="s">
        <v>263</v>
      </c>
      <c r="J30" s="90" t="s">
        <v>368</v>
      </c>
      <c r="K30" s="90" t="s">
        <v>480</v>
      </c>
      <c r="L30" s="22" t="s">
        <v>76</v>
      </c>
      <c r="M30" s="22" t="s">
        <v>88</v>
      </c>
      <c r="N30" s="91" t="s">
        <v>101</v>
      </c>
      <c r="O30" s="92">
        <v>0</v>
      </c>
      <c r="P30" s="91">
        <v>2</v>
      </c>
      <c r="Q30" s="91">
        <v>3</v>
      </c>
      <c r="R30" s="91">
        <v>4</v>
      </c>
      <c r="S30" s="91">
        <v>4</v>
      </c>
      <c r="T30" s="22" t="s">
        <v>72</v>
      </c>
      <c r="U30" s="92"/>
      <c r="V30" s="92"/>
      <c r="W30" s="92"/>
      <c r="X30" s="92"/>
      <c r="Y30" s="92"/>
      <c r="Z30" s="92"/>
      <c r="AA30" s="96"/>
      <c r="AB30" s="281"/>
      <c r="AC30" s="129"/>
      <c r="AD30" s="129"/>
      <c r="AE30" s="129"/>
      <c r="AF30" s="129"/>
      <c r="AG30" s="281"/>
      <c r="AH30" s="281"/>
      <c r="AI30" s="133"/>
      <c r="AJ30" s="133"/>
      <c r="AK30" s="133"/>
      <c r="AL30" s="8"/>
      <c r="AM30" s="103" t="s">
        <v>584</v>
      </c>
      <c r="AN30" s="103" t="s">
        <v>584</v>
      </c>
      <c r="AO30" s="109" t="s">
        <v>291</v>
      </c>
      <c r="AP30" s="109" t="s">
        <v>191</v>
      </c>
      <c r="AQ30" s="90" t="s">
        <v>212</v>
      </c>
      <c r="AR30" s="22" t="s">
        <v>8</v>
      </c>
      <c r="AS30" s="22" t="s">
        <v>71</v>
      </c>
      <c r="AT30" s="110" t="s">
        <v>101</v>
      </c>
      <c r="AU30" s="22" t="s">
        <v>161</v>
      </c>
      <c r="AV30" s="21">
        <v>44562</v>
      </c>
      <c r="AW30" s="21">
        <v>44926</v>
      </c>
      <c r="AX30" s="92">
        <v>0</v>
      </c>
      <c r="AY30" s="92">
        <v>0</v>
      </c>
      <c r="AZ30" s="92">
        <v>0</v>
      </c>
      <c r="BA30" s="112">
        <v>1</v>
      </c>
      <c r="BB30" s="112">
        <v>1</v>
      </c>
      <c r="BC30" s="92">
        <v>0</v>
      </c>
      <c r="BD30" s="92">
        <v>0</v>
      </c>
      <c r="BE30" s="92">
        <v>0</v>
      </c>
      <c r="BF30" s="92">
        <v>0</v>
      </c>
      <c r="BG30" s="92">
        <v>0</v>
      </c>
      <c r="BH30" s="92">
        <v>0</v>
      </c>
      <c r="BI30" s="96">
        <v>0</v>
      </c>
      <c r="BJ30" s="277"/>
      <c r="BK30" s="184"/>
      <c r="BL30" s="184"/>
      <c r="BM30" s="183"/>
      <c r="BN30" s="183"/>
      <c r="BO30" s="154" t="s">
        <v>457</v>
      </c>
      <c r="BP30" s="154"/>
      <c r="BQ30" s="212"/>
      <c r="BR30" s="155"/>
      <c r="BS30" s="192"/>
      <c r="BT30" s="20">
        <v>0</v>
      </c>
      <c r="BU30" s="214"/>
      <c r="BV30" s="214"/>
      <c r="BW30" s="177"/>
      <c r="BX30" s="177"/>
      <c r="BY30" s="315" t="s">
        <v>586</v>
      </c>
      <c r="BZ30" s="315">
        <v>0</v>
      </c>
      <c r="CA30" s="192"/>
      <c r="CB30" s="104"/>
      <c r="CC30" s="272"/>
      <c r="CD30" s="21">
        <v>44377</v>
      </c>
      <c r="CE30" s="22" t="str">
        <f t="shared" si="12"/>
        <v>6. Fortale</v>
      </c>
      <c r="CF30" s="22" t="str">
        <f t="shared" si="13"/>
        <v>3. Fortalecer la comunicación del sector interior en temas relacionados con la prevención y protecci</v>
      </c>
      <c r="CG30" s="22" t="str">
        <f t="shared" si="14"/>
        <v xml:space="preserve">3.2 Hacer una publicación conjunta de un libro sobre Derechos Humanos en el marco del Bicentenario </v>
      </c>
      <c r="CH30" s="22" t="str">
        <f t="shared" si="15"/>
        <v xml:space="preserve">Producto </v>
      </c>
      <c r="CI30" s="22" t="str">
        <f t="shared" si="16"/>
        <v>Producto</v>
      </c>
      <c r="CJ30" s="273" t="str">
        <f t="shared" si="17"/>
        <v/>
      </c>
      <c r="CK30" s="273" t="str">
        <f t="shared" si="18"/>
        <v/>
      </c>
      <c r="CL30" s="273">
        <f t="shared" si="35"/>
        <v>0</v>
      </c>
      <c r="CM30" s="273">
        <f t="shared" si="36"/>
        <v>0</v>
      </c>
      <c r="CN30" s="23"/>
      <c r="CO30" s="273">
        <f t="shared" si="21"/>
        <v>0.76666666666666672</v>
      </c>
      <c r="CP30" s="273">
        <f t="shared" si="22"/>
        <v>0.48333333333333323</v>
      </c>
      <c r="CQ30" s="273" t="str">
        <f t="shared" si="23"/>
        <v/>
      </c>
      <c r="CR30" s="273">
        <f t="shared" si="24"/>
        <v>0.16666666666666666</v>
      </c>
      <c r="CS30" s="273" t="str">
        <f t="shared" si="25"/>
        <v/>
      </c>
      <c r="CT30" s="273" t="str">
        <f t="shared" si="26"/>
        <v/>
      </c>
      <c r="CU30" s="273" t="str">
        <f t="shared" si="30"/>
        <v/>
      </c>
      <c r="CV30" s="25">
        <f t="shared" si="31"/>
        <v>0</v>
      </c>
    </row>
    <row r="31" spans="1:100" s="274" customFormat="1" ht="86.1" hidden="1" customHeight="1" x14ac:dyDescent="0.2">
      <c r="A31" s="22" t="s">
        <v>14</v>
      </c>
      <c r="B31" s="22" t="s">
        <v>617</v>
      </c>
      <c r="C31" s="22" t="s">
        <v>106</v>
      </c>
      <c r="D31" s="22" t="s">
        <v>68</v>
      </c>
      <c r="E31" s="22" t="s">
        <v>107</v>
      </c>
      <c r="F31" s="22" t="s">
        <v>68</v>
      </c>
      <c r="G31" s="22"/>
      <c r="H31" s="163" t="s">
        <v>253</v>
      </c>
      <c r="I31" s="90" t="s">
        <v>264</v>
      </c>
      <c r="J31" s="90" t="s">
        <v>184</v>
      </c>
      <c r="K31" s="90" t="s">
        <v>481</v>
      </c>
      <c r="L31" s="22" t="s">
        <v>76</v>
      </c>
      <c r="M31" s="22" t="s">
        <v>71</v>
      </c>
      <c r="N31" s="91" t="s">
        <v>101</v>
      </c>
      <c r="O31" s="92">
        <v>0</v>
      </c>
      <c r="P31" s="92">
        <v>0</v>
      </c>
      <c r="Q31" s="22">
        <v>1</v>
      </c>
      <c r="R31" s="22">
        <v>1</v>
      </c>
      <c r="S31" s="91">
        <v>2</v>
      </c>
      <c r="T31" s="22" t="s">
        <v>72</v>
      </c>
      <c r="U31" s="92">
        <v>0</v>
      </c>
      <c r="V31" s="92">
        <v>0</v>
      </c>
      <c r="W31" s="92">
        <v>0</v>
      </c>
      <c r="X31" s="92">
        <v>0</v>
      </c>
      <c r="Y31" s="92">
        <v>0</v>
      </c>
      <c r="Z31" s="92">
        <v>0</v>
      </c>
      <c r="AA31" s="93">
        <v>0</v>
      </c>
      <c r="AB31" s="277"/>
      <c r="AC31" s="183"/>
      <c r="AD31" s="183"/>
      <c r="AE31" s="183"/>
      <c r="AF31" s="183"/>
      <c r="AG31" s="104" t="s">
        <v>482</v>
      </c>
      <c r="AH31" s="104" t="s">
        <v>536</v>
      </c>
      <c r="AI31" s="192"/>
      <c r="AJ31" s="192"/>
      <c r="AK31" s="192"/>
      <c r="AL31" s="194"/>
      <c r="AM31" s="103">
        <v>0</v>
      </c>
      <c r="AN31" s="103">
        <v>0</v>
      </c>
      <c r="AO31" s="109" t="s">
        <v>292</v>
      </c>
      <c r="AP31" s="109" t="s">
        <v>177</v>
      </c>
      <c r="AQ31" s="90" t="s">
        <v>213</v>
      </c>
      <c r="AR31" s="22" t="s">
        <v>8</v>
      </c>
      <c r="AS31" s="22" t="s">
        <v>71</v>
      </c>
      <c r="AT31" s="110" t="s">
        <v>101</v>
      </c>
      <c r="AU31" s="22" t="s">
        <v>161</v>
      </c>
      <c r="AV31" s="21">
        <v>44197</v>
      </c>
      <c r="AW31" s="21">
        <v>44926</v>
      </c>
      <c r="AX31" s="92">
        <v>0</v>
      </c>
      <c r="AY31" s="92">
        <v>0</v>
      </c>
      <c r="AZ31" s="112">
        <v>1</v>
      </c>
      <c r="BA31" s="112">
        <v>1</v>
      </c>
      <c r="BB31" s="112">
        <v>2</v>
      </c>
      <c r="BC31" s="92">
        <v>0</v>
      </c>
      <c r="BD31" s="92">
        <v>0</v>
      </c>
      <c r="BE31" s="92">
        <v>0</v>
      </c>
      <c r="BF31" s="92">
        <v>0</v>
      </c>
      <c r="BG31" s="92">
        <v>0</v>
      </c>
      <c r="BH31" s="92">
        <v>0</v>
      </c>
      <c r="BI31" s="93">
        <v>0</v>
      </c>
      <c r="BJ31" s="277"/>
      <c r="BK31" s="183"/>
      <c r="BL31" s="183"/>
      <c r="BM31" s="183"/>
      <c r="BN31" s="183"/>
      <c r="BO31" s="154" t="s">
        <v>482</v>
      </c>
      <c r="BP31" s="154" t="s">
        <v>535</v>
      </c>
      <c r="BQ31" s="212"/>
      <c r="BR31" s="155"/>
      <c r="BS31" s="192"/>
      <c r="BT31" s="20">
        <v>0</v>
      </c>
      <c r="BU31" s="214"/>
      <c r="BV31" s="214"/>
      <c r="BW31" s="177"/>
      <c r="BX31" s="177"/>
      <c r="BY31" s="315">
        <v>0</v>
      </c>
      <c r="BZ31" s="315">
        <v>0</v>
      </c>
      <c r="CA31" s="192"/>
      <c r="CB31" s="104"/>
      <c r="CC31" s="272"/>
      <c r="CD31" s="21">
        <v>44377</v>
      </c>
      <c r="CE31" s="22" t="str">
        <f t="shared" si="12"/>
        <v>6. Fortale</v>
      </c>
      <c r="CF31" s="22" t="str">
        <f t="shared" si="13"/>
        <v>4. Promover la modernización digital y documental de las entidades del sector interior</v>
      </c>
      <c r="CG31" s="22" t="str">
        <f t="shared" si="14"/>
        <v>4..1 Diseñar para las entidades del sector interior soluciones digitales y documentales</v>
      </c>
      <c r="CH31" s="22" t="str">
        <f t="shared" si="15"/>
        <v xml:space="preserve">Producto </v>
      </c>
      <c r="CI31" s="22" t="str">
        <f t="shared" si="16"/>
        <v>Producto</v>
      </c>
      <c r="CJ31" s="273" t="str">
        <f t="shared" si="17"/>
        <v/>
      </c>
      <c r="CK31" s="273">
        <f t="shared" si="18"/>
        <v>0</v>
      </c>
      <c r="CL31" s="273">
        <f t="shared" si="35"/>
        <v>0</v>
      </c>
      <c r="CM31" s="273">
        <f t="shared" si="36"/>
        <v>0</v>
      </c>
      <c r="CN31" s="23"/>
      <c r="CO31" s="273">
        <f t="shared" si="21"/>
        <v>0.76666666666666672</v>
      </c>
      <c r="CP31" s="273">
        <f t="shared" si="22"/>
        <v>0.48333333333333323</v>
      </c>
      <c r="CQ31" s="273">
        <f t="shared" si="23"/>
        <v>0.5</v>
      </c>
      <c r="CR31" s="273">
        <f t="shared" si="24"/>
        <v>0.16666666666666666</v>
      </c>
      <c r="CS31" s="273">
        <f t="shared" si="25"/>
        <v>0</v>
      </c>
      <c r="CT31" s="273">
        <f t="shared" si="26"/>
        <v>0</v>
      </c>
      <c r="CU31" s="273">
        <f t="shared" si="30"/>
        <v>0</v>
      </c>
      <c r="CV31" s="25">
        <f t="shared" si="31"/>
        <v>0</v>
      </c>
    </row>
    <row r="32" spans="1:100" s="274" customFormat="1" ht="359.25" hidden="1" customHeight="1" x14ac:dyDescent="0.2">
      <c r="A32" s="170" t="s">
        <v>15</v>
      </c>
      <c r="B32" s="22" t="s">
        <v>188</v>
      </c>
      <c r="C32" s="22" t="s">
        <v>102</v>
      </c>
      <c r="D32" s="22" t="s">
        <v>108</v>
      </c>
      <c r="E32" s="22" t="s">
        <v>109</v>
      </c>
      <c r="F32" s="22"/>
      <c r="G32" s="22"/>
      <c r="H32" s="163" t="s">
        <v>251</v>
      </c>
      <c r="I32" s="90" t="s">
        <v>265</v>
      </c>
      <c r="J32" s="90" t="s">
        <v>110</v>
      </c>
      <c r="K32" s="90" t="s">
        <v>111</v>
      </c>
      <c r="L32" s="22" t="s">
        <v>70</v>
      </c>
      <c r="M32" s="22" t="s">
        <v>112</v>
      </c>
      <c r="N32" s="91">
        <v>95</v>
      </c>
      <c r="O32" s="91">
        <v>85</v>
      </c>
      <c r="P32" s="91">
        <v>75</v>
      </c>
      <c r="Q32" s="91">
        <v>65</v>
      </c>
      <c r="R32" s="91">
        <v>60</v>
      </c>
      <c r="S32" s="91">
        <v>60</v>
      </c>
      <c r="T32" s="22" t="s">
        <v>72</v>
      </c>
      <c r="U32" s="22">
        <v>139</v>
      </c>
      <c r="V32" s="22">
        <v>149</v>
      </c>
      <c r="W32" s="22">
        <v>220</v>
      </c>
      <c r="X32" s="22">
        <v>199.3</v>
      </c>
      <c r="Y32" s="22">
        <v>109.5</v>
      </c>
      <c r="Z32" s="108">
        <v>109.2</v>
      </c>
      <c r="AA32" s="146">
        <v>94.67</v>
      </c>
      <c r="AB32" s="282">
        <v>75.33</v>
      </c>
      <c r="AC32" s="186"/>
      <c r="AD32" s="186"/>
      <c r="AE32" s="187"/>
      <c r="AF32" s="187"/>
      <c r="AG32" s="104" t="s">
        <v>575</v>
      </c>
      <c r="AH32" s="283" t="s">
        <v>576</v>
      </c>
      <c r="AI32" s="192"/>
      <c r="AJ32" s="192"/>
      <c r="AK32" s="192"/>
      <c r="AL32" s="195"/>
      <c r="AM32" s="103">
        <v>0.65566666666666673</v>
      </c>
      <c r="AN32" s="103">
        <v>0.56200000000000006</v>
      </c>
      <c r="AO32" s="109" t="s">
        <v>293</v>
      </c>
      <c r="AP32" s="109" t="s">
        <v>178</v>
      </c>
      <c r="AQ32" s="90" t="s">
        <v>483</v>
      </c>
      <c r="AR32" s="22" t="s">
        <v>8</v>
      </c>
      <c r="AS32" s="22" t="s">
        <v>104</v>
      </c>
      <c r="AT32" s="110" t="s">
        <v>101</v>
      </c>
      <c r="AU32" s="22" t="s">
        <v>162</v>
      </c>
      <c r="AV32" s="21">
        <v>43831</v>
      </c>
      <c r="AW32" s="21">
        <v>44926</v>
      </c>
      <c r="AX32" s="94">
        <v>0</v>
      </c>
      <c r="AY32" s="94">
        <v>1</v>
      </c>
      <c r="AZ32" s="94">
        <v>1</v>
      </c>
      <c r="BA32" s="94">
        <v>1</v>
      </c>
      <c r="BB32" s="94">
        <v>1</v>
      </c>
      <c r="BC32" s="94">
        <v>0</v>
      </c>
      <c r="BD32" s="94">
        <v>1</v>
      </c>
      <c r="BE32" s="94">
        <v>1</v>
      </c>
      <c r="BF32" s="94">
        <v>1</v>
      </c>
      <c r="BG32" s="94">
        <v>1</v>
      </c>
      <c r="BH32" s="94">
        <v>1</v>
      </c>
      <c r="BI32" s="94">
        <v>0.98750000000000004</v>
      </c>
      <c r="BJ32" s="284">
        <v>0.9637</v>
      </c>
      <c r="BK32" s="176"/>
      <c r="BL32" s="176"/>
      <c r="BM32" s="204"/>
      <c r="BN32" s="204"/>
      <c r="BO32" s="154" t="s">
        <v>577</v>
      </c>
      <c r="BP32" s="285" t="s">
        <v>578</v>
      </c>
      <c r="BQ32" s="212"/>
      <c r="BR32" s="155"/>
      <c r="BS32" s="231"/>
      <c r="BT32" s="57" t="s">
        <v>404</v>
      </c>
      <c r="BU32" s="214"/>
      <c r="BV32" s="214"/>
      <c r="BW32" s="177"/>
      <c r="BX32" s="177"/>
      <c r="BY32" s="315">
        <v>0.9637</v>
      </c>
      <c r="BZ32" s="315">
        <v>0.9637</v>
      </c>
      <c r="CA32" s="192"/>
      <c r="CB32" s="104"/>
      <c r="CC32" s="272"/>
      <c r="CD32" s="21">
        <v>44377</v>
      </c>
      <c r="CE32" s="22" t="str">
        <f t="shared" si="12"/>
        <v>4. Promove</v>
      </c>
      <c r="CF32" s="22" t="str">
        <f t="shared" si="13"/>
        <v>1. Reducir el tiempo de respuesta promedio entre la aprobación y la implementación de medidas de pro</v>
      </c>
      <c r="CG32" s="22" t="str">
        <f t="shared" si="14"/>
        <v xml:space="preserve">1.1 Ejecutar el proyecto de Reingeniería basado en el mejoramiento y fortalecimiento del proceso de </v>
      </c>
      <c r="CH32" s="22" t="str">
        <f t="shared" si="15"/>
        <v xml:space="preserve">Resultado </v>
      </c>
      <c r="CI32" s="22" t="str">
        <f t="shared" si="16"/>
        <v>Producto</v>
      </c>
      <c r="CJ32" s="273">
        <f t="shared" si="17"/>
        <v>8.1958333333333341E-2</v>
      </c>
      <c r="CK32" s="273">
        <f t="shared" si="18"/>
        <v>7.2851851851851862E-2</v>
      </c>
      <c r="CL32" s="273">
        <f t="shared" si="35"/>
        <v>0.9637</v>
      </c>
      <c r="CM32" s="273">
        <f t="shared" si="36"/>
        <v>0.9637</v>
      </c>
      <c r="CN32" s="23"/>
      <c r="CO32" s="273">
        <f t="shared" si="21"/>
        <v>0.91610000000000003</v>
      </c>
      <c r="CP32" s="273">
        <f t="shared" si="22"/>
        <v>0.92658875000000007</v>
      </c>
      <c r="CQ32" s="273">
        <f t="shared" si="23"/>
        <v>0.92537500000000006</v>
      </c>
      <c r="CR32" s="273">
        <f t="shared" si="24"/>
        <v>0.94030200000000019</v>
      </c>
      <c r="CS32" s="273">
        <f t="shared" si="25"/>
        <v>0.9637</v>
      </c>
      <c r="CT32" s="273">
        <f t="shared" si="26"/>
        <v>0.65566666666666673</v>
      </c>
      <c r="CU32" s="273">
        <f t="shared" si="30"/>
        <v>0.9637</v>
      </c>
      <c r="CV32" s="25">
        <f t="shared" si="31"/>
        <v>0.9637</v>
      </c>
    </row>
    <row r="33" spans="1:100" s="274" customFormat="1" ht="159.75" hidden="1" customHeight="1" x14ac:dyDescent="0.2">
      <c r="A33" s="170" t="s">
        <v>15</v>
      </c>
      <c r="B33" s="22" t="s">
        <v>188</v>
      </c>
      <c r="C33" s="22" t="s">
        <v>102</v>
      </c>
      <c r="D33" s="22" t="s">
        <v>108</v>
      </c>
      <c r="E33" s="22" t="s">
        <v>109</v>
      </c>
      <c r="F33" s="22"/>
      <c r="G33" s="22"/>
      <c r="H33" s="163" t="s">
        <v>251</v>
      </c>
      <c r="I33" s="90" t="s">
        <v>266</v>
      </c>
      <c r="J33" s="90" t="s">
        <v>113</v>
      </c>
      <c r="K33" s="90" t="s">
        <v>114</v>
      </c>
      <c r="L33" s="22" t="s">
        <v>76</v>
      </c>
      <c r="M33" s="22" t="s">
        <v>88</v>
      </c>
      <c r="N33" s="99">
        <v>0.45</v>
      </c>
      <c r="O33" s="94">
        <v>0.5</v>
      </c>
      <c r="P33" s="94">
        <v>0.65</v>
      </c>
      <c r="Q33" s="94">
        <v>0.8</v>
      </c>
      <c r="R33" s="94">
        <v>1</v>
      </c>
      <c r="S33" s="94">
        <v>1</v>
      </c>
      <c r="T33" s="22" t="s">
        <v>77</v>
      </c>
      <c r="U33" s="94">
        <v>0.56820000000000004</v>
      </c>
      <c r="V33" s="94">
        <v>0.54500000000000004</v>
      </c>
      <c r="W33" s="94">
        <v>0.59499999999999997</v>
      </c>
      <c r="X33" s="94">
        <v>0.60450000000000004</v>
      </c>
      <c r="Y33" s="94">
        <v>0.72550000000000003</v>
      </c>
      <c r="Z33" s="94">
        <v>0.72550000000000003</v>
      </c>
      <c r="AA33" s="94">
        <v>0.71</v>
      </c>
      <c r="AB33" s="94">
        <v>0.73780000000000001</v>
      </c>
      <c r="AC33" s="176"/>
      <c r="AD33" s="176"/>
      <c r="AE33" s="176"/>
      <c r="AF33" s="176"/>
      <c r="AG33" s="104" t="s">
        <v>579</v>
      </c>
      <c r="AH33" s="283" t="s">
        <v>580</v>
      </c>
      <c r="AI33" s="192"/>
      <c r="AJ33" s="192"/>
      <c r="AK33" s="192"/>
      <c r="AL33" s="196"/>
      <c r="AM33" s="103">
        <v>0.92225000000000001</v>
      </c>
      <c r="AN33" s="103">
        <v>0.72550000000000003</v>
      </c>
      <c r="AO33" s="109" t="s">
        <v>294</v>
      </c>
      <c r="AP33" s="109" t="s">
        <v>218</v>
      </c>
      <c r="AQ33" s="90" t="s">
        <v>484</v>
      </c>
      <c r="AR33" s="22" t="s">
        <v>8</v>
      </c>
      <c r="AS33" s="22" t="s">
        <v>104</v>
      </c>
      <c r="AT33" s="99">
        <v>0.45</v>
      </c>
      <c r="AU33" s="22" t="s">
        <v>162</v>
      </c>
      <c r="AV33" s="21">
        <v>43831</v>
      </c>
      <c r="AW33" s="21">
        <v>44926</v>
      </c>
      <c r="AX33" s="94">
        <v>0</v>
      </c>
      <c r="AY33" s="94">
        <v>1</v>
      </c>
      <c r="AZ33" s="94">
        <v>1</v>
      </c>
      <c r="BA33" s="94">
        <v>1</v>
      </c>
      <c r="BB33" s="94">
        <v>1</v>
      </c>
      <c r="BC33" s="94">
        <v>0</v>
      </c>
      <c r="BD33" s="94">
        <v>0</v>
      </c>
      <c r="BE33" s="94">
        <v>0.5948</v>
      </c>
      <c r="BF33" s="94">
        <v>0</v>
      </c>
      <c r="BG33" s="94">
        <v>0.78</v>
      </c>
      <c r="BH33" s="94">
        <v>0.78</v>
      </c>
      <c r="BI33" s="94">
        <v>0</v>
      </c>
      <c r="BJ33" s="284">
        <v>0.73780000000000001</v>
      </c>
      <c r="BK33" s="176"/>
      <c r="BL33" s="176"/>
      <c r="BM33" s="204"/>
      <c r="BN33" s="204"/>
      <c r="BO33" s="154" t="s">
        <v>485</v>
      </c>
      <c r="BP33" s="285" t="s">
        <v>552</v>
      </c>
      <c r="BQ33" s="212"/>
      <c r="BR33" s="155"/>
      <c r="BS33" s="231"/>
      <c r="BT33" s="57" t="s">
        <v>404</v>
      </c>
      <c r="BU33" s="214"/>
      <c r="BV33" s="214"/>
      <c r="BW33" s="177"/>
      <c r="BX33" s="177"/>
      <c r="BY33" s="315">
        <v>0.73780000000000001</v>
      </c>
      <c r="BZ33" s="315">
        <v>0.73780000000000001</v>
      </c>
      <c r="CA33" s="192"/>
      <c r="CB33" s="104"/>
      <c r="CC33" s="272"/>
      <c r="CD33" s="21">
        <v>44377</v>
      </c>
      <c r="CE33" s="22" t="str">
        <f t="shared" si="12"/>
        <v>4. Promove</v>
      </c>
      <c r="CF33" s="22" t="str">
        <f t="shared" si="13"/>
        <v>2. Liderar la actualización y adecuación de las medidas de prevención y protección con enfoque difer</v>
      </c>
      <c r="CG33" s="22" t="str">
        <f t="shared" si="14"/>
        <v>2.1 fortalecimiento e implementación de la ruta de protección colectiva.</v>
      </c>
      <c r="CH33" s="22" t="str">
        <f t="shared" si="15"/>
        <v xml:space="preserve">Producto </v>
      </c>
      <c r="CI33" s="22" t="str">
        <f t="shared" si="16"/>
        <v>Producto</v>
      </c>
      <c r="CJ33" s="273" t="str">
        <f t="shared" si="17"/>
        <v/>
      </c>
      <c r="CK33" s="273">
        <f t="shared" si="18"/>
        <v>0.10247222222222223</v>
      </c>
      <c r="CL33" s="273">
        <f t="shared" si="35"/>
        <v>0.36890000000000001</v>
      </c>
      <c r="CM33" s="273">
        <f t="shared" si="36"/>
        <v>0.36890000000000001</v>
      </c>
      <c r="CN33" s="23"/>
      <c r="CO33" s="273">
        <f t="shared" si="21"/>
        <v>0.91610000000000003</v>
      </c>
      <c r="CP33" s="273">
        <f t="shared" si="22"/>
        <v>0.92658875000000007</v>
      </c>
      <c r="CQ33" s="273">
        <f t="shared" si="23"/>
        <v>0.92537500000000006</v>
      </c>
      <c r="CR33" s="273">
        <f t="shared" si="24"/>
        <v>0.94030200000000019</v>
      </c>
      <c r="CS33" s="273">
        <f t="shared" si="25"/>
        <v>0.86890000000000001</v>
      </c>
      <c r="CT33" s="273">
        <f t="shared" si="26"/>
        <v>0.92225000000000001</v>
      </c>
      <c r="CU33" s="273">
        <f t="shared" si="30"/>
        <v>0.73780000000000001</v>
      </c>
      <c r="CV33" s="25">
        <f t="shared" si="31"/>
        <v>0.73780000000000001</v>
      </c>
    </row>
    <row r="34" spans="1:100" s="274" customFormat="1" ht="111" hidden="1" customHeight="1" x14ac:dyDescent="0.2">
      <c r="A34" s="170" t="s">
        <v>15</v>
      </c>
      <c r="B34" s="22" t="s">
        <v>188</v>
      </c>
      <c r="C34" s="22" t="s">
        <v>102</v>
      </c>
      <c r="D34" s="22" t="s">
        <v>108</v>
      </c>
      <c r="E34" s="22" t="s">
        <v>109</v>
      </c>
      <c r="F34" s="22"/>
      <c r="G34" s="22"/>
      <c r="H34" s="163" t="s">
        <v>251</v>
      </c>
      <c r="I34" s="90" t="s">
        <v>266</v>
      </c>
      <c r="J34" s="90" t="s">
        <v>113</v>
      </c>
      <c r="K34" s="90" t="s">
        <v>114</v>
      </c>
      <c r="L34" s="22" t="s">
        <v>76</v>
      </c>
      <c r="M34" s="22" t="s">
        <v>88</v>
      </c>
      <c r="N34" s="99">
        <v>0.45</v>
      </c>
      <c r="O34" s="94">
        <v>0.5</v>
      </c>
      <c r="P34" s="94">
        <v>0.65</v>
      </c>
      <c r="Q34" s="94">
        <v>0.8</v>
      </c>
      <c r="R34" s="94">
        <v>1</v>
      </c>
      <c r="S34" s="94">
        <v>1</v>
      </c>
      <c r="T34" s="22" t="s">
        <v>77</v>
      </c>
      <c r="U34" s="94"/>
      <c r="V34" s="94"/>
      <c r="W34" s="94"/>
      <c r="X34" s="94"/>
      <c r="Y34" s="94"/>
      <c r="Z34" s="94"/>
      <c r="AA34" s="94"/>
      <c r="AB34" s="94"/>
      <c r="AC34" s="26"/>
      <c r="AD34" s="26"/>
      <c r="AE34" s="17"/>
      <c r="AF34" s="17"/>
      <c r="AG34" s="104"/>
      <c r="AH34" s="104"/>
      <c r="AI34" s="133"/>
      <c r="AJ34" s="133"/>
      <c r="AK34" s="133"/>
      <c r="AL34" s="133"/>
      <c r="AM34" s="103" t="s">
        <v>584</v>
      </c>
      <c r="AN34" s="103" t="s">
        <v>584</v>
      </c>
      <c r="AO34" s="109" t="s">
        <v>295</v>
      </c>
      <c r="AP34" s="109" t="s">
        <v>187</v>
      </c>
      <c r="AQ34" s="90" t="s">
        <v>486</v>
      </c>
      <c r="AR34" s="22" t="s">
        <v>9</v>
      </c>
      <c r="AS34" s="22" t="s">
        <v>104</v>
      </c>
      <c r="AT34" s="110" t="s">
        <v>101</v>
      </c>
      <c r="AU34" s="22" t="s">
        <v>162</v>
      </c>
      <c r="AV34" s="21">
        <v>43831</v>
      </c>
      <c r="AW34" s="21">
        <v>44926</v>
      </c>
      <c r="AX34" s="94">
        <v>0</v>
      </c>
      <c r="AY34" s="94">
        <v>1</v>
      </c>
      <c r="AZ34" s="94">
        <v>1</v>
      </c>
      <c r="BA34" s="94">
        <v>1</v>
      </c>
      <c r="BB34" s="94">
        <v>1</v>
      </c>
      <c r="BC34" s="94">
        <v>0</v>
      </c>
      <c r="BD34" s="94">
        <v>0</v>
      </c>
      <c r="BE34" s="94">
        <f>(3/8)*100%</f>
        <v>0.375</v>
      </c>
      <c r="BF34" s="94">
        <v>0</v>
      </c>
      <c r="BG34" s="94">
        <f>+(0.5)</f>
        <v>0.5</v>
      </c>
      <c r="BH34" s="94">
        <f>+(0.5)</f>
        <v>0.5</v>
      </c>
      <c r="BI34" s="94">
        <v>0</v>
      </c>
      <c r="BJ34" s="284">
        <v>1</v>
      </c>
      <c r="BK34" s="176"/>
      <c r="BL34" s="176"/>
      <c r="BM34" s="204"/>
      <c r="BN34" s="204"/>
      <c r="BO34" s="154" t="s">
        <v>485</v>
      </c>
      <c r="BP34" s="285" t="s">
        <v>553</v>
      </c>
      <c r="BQ34" s="212"/>
      <c r="BR34" s="155"/>
      <c r="BS34" s="231"/>
      <c r="BT34" s="57" t="s">
        <v>404</v>
      </c>
      <c r="BU34" s="214"/>
      <c r="BV34" s="214"/>
      <c r="BW34" s="177"/>
      <c r="BX34" s="177"/>
      <c r="BY34" s="315">
        <v>1</v>
      </c>
      <c r="BZ34" s="315">
        <v>1</v>
      </c>
      <c r="CA34" s="192"/>
      <c r="CB34" s="104"/>
      <c r="CC34" s="272"/>
      <c r="CD34" s="21">
        <v>44377</v>
      </c>
      <c r="CE34" s="22" t="str">
        <f t="shared" si="12"/>
        <v>4. Promove</v>
      </c>
      <c r="CF34" s="22" t="str">
        <f t="shared" si="13"/>
        <v>2. Liderar la actualización y adecuación de las medidas de prevención y protección con enfoque difer</v>
      </c>
      <c r="CG34" s="22" t="str">
        <f t="shared" si="14"/>
        <v xml:space="preserve">2.2 Promover cursos como mecanismo de participación a los grupos y comunidades para la construcción </v>
      </c>
      <c r="CH34" s="22" t="str">
        <f t="shared" si="15"/>
        <v xml:space="preserve">Producto </v>
      </c>
      <c r="CI34" s="22" t="str">
        <f t="shared" si="16"/>
        <v>Gestión</v>
      </c>
      <c r="CJ34" s="273" t="str">
        <f t="shared" si="17"/>
        <v/>
      </c>
      <c r="CK34" s="273" t="str">
        <f t="shared" si="18"/>
        <v/>
      </c>
      <c r="CL34" s="273">
        <f t="shared" si="35"/>
        <v>0.5</v>
      </c>
      <c r="CM34" s="273">
        <f t="shared" si="36"/>
        <v>0.5</v>
      </c>
      <c r="CN34" s="23"/>
      <c r="CO34" s="273">
        <f t="shared" si="21"/>
        <v>0.91610000000000003</v>
      </c>
      <c r="CP34" s="273">
        <f t="shared" si="22"/>
        <v>0.92658875000000007</v>
      </c>
      <c r="CQ34" s="273">
        <f t="shared" si="23"/>
        <v>0.92537500000000006</v>
      </c>
      <c r="CR34" s="273">
        <f t="shared" si="24"/>
        <v>0.94030200000000019</v>
      </c>
      <c r="CS34" s="273">
        <f t="shared" si="25"/>
        <v>0.86890000000000001</v>
      </c>
      <c r="CT34" s="273" t="str">
        <f t="shared" si="26"/>
        <v/>
      </c>
      <c r="CU34" s="273">
        <f t="shared" si="30"/>
        <v>1</v>
      </c>
      <c r="CV34" s="25">
        <f t="shared" si="31"/>
        <v>1</v>
      </c>
    </row>
    <row r="35" spans="1:100" s="274" customFormat="1" ht="123.75" hidden="1" customHeight="1" x14ac:dyDescent="0.2">
      <c r="A35" s="170" t="s">
        <v>15</v>
      </c>
      <c r="B35" s="22" t="s">
        <v>188</v>
      </c>
      <c r="C35" s="22" t="s">
        <v>102</v>
      </c>
      <c r="D35" s="22"/>
      <c r="E35" s="22" t="s">
        <v>109</v>
      </c>
      <c r="F35" s="22"/>
      <c r="G35" s="22"/>
      <c r="H35" s="163" t="s">
        <v>251</v>
      </c>
      <c r="I35" s="90" t="s">
        <v>267</v>
      </c>
      <c r="J35" s="90" t="s">
        <v>115</v>
      </c>
      <c r="K35" s="90" t="s">
        <v>115</v>
      </c>
      <c r="L35" s="22" t="s">
        <v>76</v>
      </c>
      <c r="M35" s="22" t="s">
        <v>104</v>
      </c>
      <c r="N35" s="91" t="s">
        <v>101</v>
      </c>
      <c r="O35" s="94">
        <v>0</v>
      </c>
      <c r="P35" s="94">
        <v>1</v>
      </c>
      <c r="Q35" s="94">
        <v>1</v>
      </c>
      <c r="R35" s="94">
        <v>1</v>
      </c>
      <c r="S35" s="94">
        <v>1</v>
      </c>
      <c r="T35" s="22" t="s">
        <v>77</v>
      </c>
      <c r="U35" s="94">
        <v>0</v>
      </c>
      <c r="V35" s="94">
        <v>0.20880000000000001</v>
      </c>
      <c r="W35" s="94">
        <v>1</v>
      </c>
      <c r="X35" s="94">
        <v>0</v>
      </c>
      <c r="Y35" s="94">
        <v>0</v>
      </c>
      <c r="Z35" s="94">
        <v>1</v>
      </c>
      <c r="AA35" s="94">
        <v>1</v>
      </c>
      <c r="AB35" s="286">
        <v>0.50632911392405067</v>
      </c>
      <c r="AC35" s="176"/>
      <c r="AD35" s="176"/>
      <c r="AE35" s="188"/>
      <c r="AF35" s="188"/>
      <c r="AG35" s="104" t="s">
        <v>433</v>
      </c>
      <c r="AH35" s="109" t="s">
        <v>557</v>
      </c>
      <c r="AI35" s="192"/>
      <c r="AJ35" s="192"/>
      <c r="AK35" s="192"/>
      <c r="AL35" s="197"/>
      <c r="AM35" s="103">
        <v>0.50632911392405067</v>
      </c>
      <c r="AN35" s="103">
        <v>0.50632911392405067</v>
      </c>
      <c r="AO35" s="109" t="s">
        <v>296</v>
      </c>
      <c r="AP35" s="109" t="s">
        <v>179</v>
      </c>
      <c r="AQ35" s="90" t="s">
        <v>166</v>
      </c>
      <c r="AR35" s="22" t="s">
        <v>9</v>
      </c>
      <c r="AS35" s="22" t="s">
        <v>104</v>
      </c>
      <c r="AT35" s="110" t="s">
        <v>101</v>
      </c>
      <c r="AU35" s="22" t="s">
        <v>162</v>
      </c>
      <c r="AV35" s="21">
        <v>43831</v>
      </c>
      <c r="AW35" s="21">
        <v>44926</v>
      </c>
      <c r="AX35" s="94">
        <v>0</v>
      </c>
      <c r="AY35" s="94">
        <v>1</v>
      </c>
      <c r="AZ35" s="94">
        <v>1</v>
      </c>
      <c r="BA35" s="94">
        <v>1</v>
      </c>
      <c r="BB35" s="94">
        <v>1</v>
      </c>
      <c r="BC35" s="94">
        <v>0</v>
      </c>
      <c r="BD35" s="94">
        <v>0</v>
      </c>
      <c r="BE35" s="94">
        <v>1</v>
      </c>
      <c r="BF35" s="94">
        <f>3/3</f>
        <v>1</v>
      </c>
      <c r="BG35" s="94">
        <v>1</v>
      </c>
      <c r="BH35" s="94">
        <v>1</v>
      </c>
      <c r="BI35" s="94">
        <v>1</v>
      </c>
      <c r="BJ35" s="94">
        <v>1</v>
      </c>
      <c r="BK35" s="176"/>
      <c r="BL35" s="176"/>
      <c r="BM35" s="176"/>
      <c r="BN35" s="176"/>
      <c r="BO35" s="154" t="s">
        <v>435</v>
      </c>
      <c r="BP35" s="285" t="s">
        <v>554</v>
      </c>
      <c r="BQ35" s="212"/>
      <c r="BR35" s="155"/>
      <c r="BS35" s="231"/>
      <c r="BT35" s="57" t="s">
        <v>404</v>
      </c>
      <c r="BU35" s="214"/>
      <c r="BV35" s="214"/>
      <c r="BW35" s="177"/>
      <c r="BX35" s="177"/>
      <c r="BY35" s="315">
        <v>1</v>
      </c>
      <c r="BZ35" s="315">
        <v>1</v>
      </c>
      <c r="CA35" s="192"/>
      <c r="CB35" s="104"/>
      <c r="CC35" s="272"/>
      <c r="CD35" s="21">
        <v>44377</v>
      </c>
      <c r="CE35" s="22" t="str">
        <f t="shared" si="12"/>
        <v>4. Promove</v>
      </c>
      <c r="CF35" s="22" t="str">
        <f t="shared" si="13"/>
        <v>3. Incorporar el análisis de contexto como mecanismo para la identificación anticipada o temprana de</v>
      </c>
      <c r="CG35" s="22" t="str">
        <f t="shared" si="14"/>
        <v>3.1 Reuniones técnicas con el equipo del Plan de Acción Oportuna (Min Interior) para coordinar metod</v>
      </c>
      <c r="CH35" s="22" t="str">
        <f t="shared" si="15"/>
        <v xml:space="preserve">Producto </v>
      </c>
      <c r="CI35" s="22" t="str">
        <f t="shared" si="16"/>
        <v>Gestión</v>
      </c>
      <c r="CJ35" s="273" t="str">
        <f t="shared" si="17"/>
        <v/>
      </c>
      <c r="CK35" s="273">
        <f t="shared" si="18"/>
        <v>5.625879043600563E-2</v>
      </c>
      <c r="CL35" s="273">
        <f t="shared" si="35"/>
        <v>0.5</v>
      </c>
      <c r="CM35" s="273">
        <f t="shared" si="36"/>
        <v>0.5</v>
      </c>
      <c r="CN35" s="23"/>
      <c r="CO35" s="273">
        <f t="shared" si="21"/>
        <v>0.91610000000000003</v>
      </c>
      <c r="CP35" s="273">
        <f t="shared" si="22"/>
        <v>0.92658875000000007</v>
      </c>
      <c r="CQ35" s="273">
        <f t="shared" si="23"/>
        <v>0.92537500000000006</v>
      </c>
      <c r="CR35" s="273">
        <f t="shared" si="24"/>
        <v>0.94030200000000019</v>
      </c>
      <c r="CS35" s="273">
        <f t="shared" si="25"/>
        <v>1</v>
      </c>
      <c r="CT35" s="273">
        <f t="shared" si="26"/>
        <v>0.50632911392405067</v>
      </c>
      <c r="CU35" s="273">
        <f t="shared" si="30"/>
        <v>1</v>
      </c>
      <c r="CV35" s="25">
        <f t="shared" si="31"/>
        <v>1</v>
      </c>
    </row>
    <row r="36" spans="1:100" s="274" customFormat="1" ht="409.5" hidden="1" x14ac:dyDescent="0.2">
      <c r="A36" s="170" t="s">
        <v>15</v>
      </c>
      <c r="B36" s="22" t="s">
        <v>188</v>
      </c>
      <c r="C36" s="22" t="s">
        <v>102</v>
      </c>
      <c r="D36" s="22"/>
      <c r="E36" s="22" t="s">
        <v>109</v>
      </c>
      <c r="F36" s="22"/>
      <c r="G36" s="22"/>
      <c r="H36" s="163" t="s">
        <v>251</v>
      </c>
      <c r="I36" s="90" t="s">
        <v>267</v>
      </c>
      <c r="J36" s="90" t="s">
        <v>115</v>
      </c>
      <c r="K36" s="90" t="s">
        <v>115</v>
      </c>
      <c r="L36" s="22" t="s">
        <v>76</v>
      </c>
      <c r="M36" s="22" t="s">
        <v>104</v>
      </c>
      <c r="N36" s="91" t="s">
        <v>101</v>
      </c>
      <c r="O36" s="94">
        <v>0</v>
      </c>
      <c r="P36" s="94">
        <v>1</v>
      </c>
      <c r="Q36" s="94">
        <v>1</v>
      </c>
      <c r="R36" s="94">
        <v>1</v>
      </c>
      <c r="S36" s="94">
        <v>1</v>
      </c>
      <c r="T36" s="22" t="s">
        <v>77</v>
      </c>
      <c r="U36" s="94"/>
      <c r="V36" s="94"/>
      <c r="W36" s="94"/>
      <c r="X36" s="94"/>
      <c r="Y36" s="94"/>
      <c r="Z36" s="94"/>
      <c r="AA36" s="94"/>
      <c r="AB36" s="94"/>
      <c r="AC36" s="26"/>
      <c r="AD36" s="26"/>
      <c r="AE36" s="17"/>
      <c r="AF36" s="17"/>
      <c r="AG36" s="104"/>
      <c r="AH36" s="104"/>
      <c r="AI36" s="133"/>
      <c r="AJ36" s="133"/>
      <c r="AK36" s="133"/>
      <c r="AL36" s="133"/>
      <c r="AM36" s="103" t="s">
        <v>584</v>
      </c>
      <c r="AN36" s="103" t="s">
        <v>584</v>
      </c>
      <c r="AO36" s="109" t="s">
        <v>297</v>
      </c>
      <c r="AP36" s="109" t="s">
        <v>180</v>
      </c>
      <c r="AQ36" s="90" t="s">
        <v>116</v>
      </c>
      <c r="AR36" s="22" t="s">
        <v>9</v>
      </c>
      <c r="AS36" s="22" t="s">
        <v>71</v>
      </c>
      <c r="AT36" s="110" t="s">
        <v>101</v>
      </c>
      <c r="AU36" s="91" t="s">
        <v>161</v>
      </c>
      <c r="AV36" s="21">
        <v>43831</v>
      </c>
      <c r="AW36" s="21">
        <v>44196</v>
      </c>
      <c r="AX36" s="92">
        <v>0</v>
      </c>
      <c r="AY36" s="91">
        <v>10</v>
      </c>
      <c r="AZ36" s="92">
        <v>0</v>
      </c>
      <c r="BA36" s="92">
        <v>0</v>
      </c>
      <c r="BB36" s="91">
        <v>10</v>
      </c>
      <c r="BC36" s="92">
        <v>0</v>
      </c>
      <c r="BD36" s="91">
        <v>2</v>
      </c>
      <c r="BE36" s="91">
        <v>3</v>
      </c>
      <c r="BF36" s="22">
        <v>3</v>
      </c>
      <c r="BG36" s="22">
        <v>3</v>
      </c>
      <c r="BH36" s="22">
        <v>11</v>
      </c>
      <c r="BI36" s="22">
        <v>3</v>
      </c>
      <c r="BJ36" s="287">
        <v>6</v>
      </c>
      <c r="BK36" s="182"/>
      <c r="BL36" s="182"/>
      <c r="BM36" s="182"/>
      <c r="BN36" s="182"/>
      <c r="BO36" s="154" t="s">
        <v>581</v>
      </c>
      <c r="BP36" s="104" t="s">
        <v>600</v>
      </c>
      <c r="BQ36" s="212"/>
      <c r="BR36" s="155"/>
      <c r="BS36" s="231"/>
      <c r="BT36" s="57" t="s">
        <v>404</v>
      </c>
      <c r="BU36" s="214"/>
      <c r="BV36" s="214"/>
      <c r="BW36" s="177"/>
      <c r="BX36" s="177"/>
      <c r="BY36" s="315" t="s">
        <v>586</v>
      </c>
      <c r="BZ36" s="315">
        <v>1.0000100000000001</v>
      </c>
      <c r="CA36" s="192"/>
      <c r="CB36" s="104"/>
      <c r="CC36" s="272"/>
      <c r="CD36" s="21">
        <v>44377</v>
      </c>
      <c r="CE36" s="22" t="str">
        <f t="shared" si="12"/>
        <v>4. Promove</v>
      </c>
      <c r="CF36" s="22" t="str">
        <f t="shared" si="13"/>
        <v>3. Incorporar el análisis de contexto como mecanismo para la identificación anticipada o temprana de</v>
      </c>
      <c r="CG36" s="22" t="str">
        <f t="shared" si="14"/>
        <v>3.3 Fortalecimiento de las capacidades de recolección y procesamiento de información cualitativa y c</v>
      </c>
      <c r="CH36" s="22" t="str">
        <f t="shared" si="15"/>
        <v xml:space="preserve">Producto </v>
      </c>
      <c r="CI36" s="22" t="str">
        <f t="shared" si="16"/>
        <v>Gestión</v>
      </c>
      <c r="CJ36" s="273" t="str">
        <f t="shared" si="17"/>
        <v/>
      </c>
      <c r="CK36" s="273" t="str">
        <f t="shared" si="18"/>
        <v/>
      </c>
      <c r="CL36" s="273">
        <f t="shared" si="35"/>
        <v>0</v>
      </c>
      <c r="CM36" s="273">
        <f t="shared" si="36"/>
        <v>0.50000500000000003</v>
      </c>
      <c r="CN36" s="23"/>
      <c r="CO36" s="273">
        <f t="shared" si="21"/>
        <v>0.91610000000000003</v>
      </c>
      <c r="CP36" s="273">
        <f t="shared" si="22"/>
        <v>0.92658875000000007</v>
      </c>
      <c r="CQ36" s="273" t="str">
        <f t="shared" si="23"/>
        <v/>
      </c>
      <c r="CR36" s="273">
        <f t="shared" si="24"/>
        <v>0.94030200000000019</v>
      </c>
      <c r="CS36" s="273" t="str">
        <f t="shared" si="25"/>
        <v/>
      </c>
      <c r="CT36" s="273" t="str">
        <f t="shared" si="26"/>
        <v/>
      </c>
      <c r="CU36" s="273" t="str">
        <f t="shared" si="30"/>
        <v/>
      </c>
      <c r="CV36" s="25">
        <f t="shared" si="31"/>
        <v>1.0000100000000001</v>
      </c>
    </row>
    <row r="37" spans="1:100" s="274" customFormat="1" ht="155.25" hidden="1" customHeight="1" x14ac:dyDescent="0.2">
      <c r="A37" s="170" t="s">
        <v>15</v>
      </c>
      <c r="B37" s="22" t="s">
        <v>188</v>
      </c>
      <c r="C37" s="22" t="s">
        <v>117</v>
      </c>
      <c r="D37" s="22"/>
      <c r="E37" s="22" t="s">
        <v>109</v>
      </c>
      <c r="F37" s="22"/>
      <c r="G37" s="22"/>
      <c r="H37" s="163" t="s">
        <v>253</v>
      </c>
      <c r="I37" s="90" t="s">
        <v>268</v>
      </c>
      <c r="J37" s="90" t="s">
        <v>118</v>
      </c>
      <c r="K37" s="90" t="s">
        <v>118</v>
      </c>
      <c r="L37" s="22" t="s">
        <v>70</v>
      </c>
      <c r="M37" s="22" t="s">
        <v>88</v>
      </c>
      <c r="N37" s="94">
        <v>0.66500000000000004</v>
      </c>
      <c r="O37" s="94">
        <v>0.67800000000000005</v>
      </c>
      <c r="P37" s="94">
        <v>0.68</v>
      </c>
      <c r="Q37" s="94">
        <v>0.69499999999999995</v>
      </c>
      <c r="R37" s="94" t="s">
        <v>378</v>
      </c>
      <c r="S37" s="94">
        <v>0.70499999999999996</v>
      </c>
      <c r="T37" s="22" t="s">
        <v>77</v>
      </c>
      <c r="U37" s="94">
        <v>0.66500000000000004</v>
      </c>
      <c r="V37" s="94">
        <v>0</v>
      </c>
      <c r="W37" s="94">
        <v>0.67800000000000005</v>
      </c>
      <c r="X37" s="94">
        <v>0</v>
      </c>
      <c r="Y37" s="94">
        <v>0</v>
      </c>
      <c r="Z37" s="94">
        <v>0.67800000000000005</v>
      </c>
      <c r="AA37" s="94">
        <v>0</v>
      </c>
      <c r="AB37" s="286">
        <v>0.68500000000000005</v>
      </c>
      <c r="AC37" s="176"/>
      <c r="AD37" s="176"/>
      <c r="AE37" s="188"/>
      <c r="AF37" s="188"/>
      <c r="AG37" s="104" t="s">
        <v>434</v>
      </c>
      <c r="AH37" s="109" t="s">
        <v>601</v>
      </c>
      <c r="AI37" s="192"/>
      <c r="AJ37" s="192"/>
      <c r="AK37" s="192"/>
      <c r="AL37" s="197"/>
      <c r="AM37" s="103">
        <v>0.98561151079136711</v>
      </c>
      <c r="AN37" s="103">
        <v>0.96170212765957463</v>
      </c>
      <c r="AO37" s="109" t="s">
        <v>298</v>
      </c>
      <c r="AP37" s="109" t="s">
        <v>189</v>
      </c>
      <c r="AQ37" s="90" t="s">
        <v>487</v>
      </c>
      <c r="AR37" s="22" t="s">
        <v>9</v>
      </c>
      <c r="AS37" s="22" t="s">
        <v>104</v>
      </c>
      <c r="AT37" s="110" t="s">
        <v>101</v>
      </c>
      <c r="AU37" s="22" t="s">
        <v>162</v>
      </c>
      <c r="AV37" s="21">
        <v>43466</v>
      </c>
      <c r="AW37" s="21">
        <v>44926</v>
      </c>
      <c r="AX37" s="94">
        <v>0</v>
      </c>
      <c r="AY37" s="94">
        <v>1</v>
      </c>
      <c r="AZ37" s="94">
        <v>1</v>
      </c>
      <c r="BA37" s="94">
        <v>1</v>
      </c>
      <c r="BB37" s="94">
        <v>1</v>
      </c>
      <c r="BC37" s="94">
        <v>0</v>
      </c>
      <c r="BD37" s="94">
        <v>0.81818181818181823</v>
      </c>
      <c r="BE37" s="94">
        <v>1</v>
      </c>
      <c r="BF37" s="94">
        <v>1</v>
      </c>
      <c r="BG37" s="94">
        <v>1</v>
      </c>
      <c r="BH37" s="94">
        <v>1</v>
      </c>
      <c r="BI37" s="94">
        <v>1</v>
      </c>
      <c r="BJ37" s="284">
        <v>1</v>
      </c>
      <c r="BK37" s="176"/>
      <c r="BL37" s="176"/>
      <c r="BM37" s="204"/>
      <c r="BN37" s="204"/>
      <c r="BO37" s="154" t="s">
        <v>436</v>
      </c>
      <c r="BP37" s="104" t="s">
        <v>555</v>
      </c>
      <c r="BQ37" s="212"/>
      <c r="BR37" s="155"/>
      <c r="BS37" s="192"/>
      <c r="BT37" s="57" t="s">
        <v>404</v>
      </c>
      <c r="BU37" s="214"/>
      <c r="BV37" s="214"/>
      <c r="BW37" s="177"/>
      <c r="BX37" s="177"/>
      <c r="BY37" s="315">
        <v>1</v>
      </c>
      <c r="BZ37" s="315">
        <v>1</v>
      </c>
      <c r="CA37" s="192"/>
      <c r="CB37" s="104"/>
      <c r="CC37" s="272"/>
      <c r="CD37" s="21">
        <v>44377</v>
      </c>
      <c r="CE37" s="22" t="str">
        <f t="shared" si="12"/>
        <v>6. Fortale</v>
      </c>
      <c r="CF37" s="22" t="str">
        <f t="shared" si="13"/>
        <v>4. Liderar el desarrollo del Modelo Integrado de Planeación y Gestión (MIPG).</v>
      </c>
      <c r="CG37" s="22" t="str">
        <f t="shared" si="14"/>
        <v>4.1 La entidad viene dando cumplimiento a la implementación de las políticas de gestión de Modelo In</v>
      </c>
      <c r="CH37" s="22" t="str">
        <f t="shared" si="15"/>
        <v xml:space="preserve">Resultado </v>
      </c>
      <c r="CI37" s="22" t="str">
        <f t="shared" si="16"/>
        <v>Gestión</v>
      </c>
      <c r="CJ37" s="273">
        <f t="shared" si="17"/>
        <v>0.12320143884892089</v>
      </c>
      <c r="CK37" s="273">
        <f t="shared" si="18"/>
        <v>8.9601046435578827E-2</v>
      </c>
      <c r="CL37" s="273">
        <f t="shared" si="35"/>
        <v>0.5</v>
      </c>
      <c r="CM37" s="273">
        <f t="shared" si="36"/>
        <v>0.5</v>
      </c>
      <c r="CN37" s="23"/>
      <c r="CO37" s="273">
        <f t="shared" si="21"/>
        <v>0.91610000000000003</v>
      </c>
      <c r="CP37" s="273">
        <f t="shared" si="22"/>
        <v>0.92658875000000007</v>
      </c>
      <c r="CQ37" s="273">
        <f t="shared" si="23"/>
        <v>0.90373333333333328</v>
      </c>
      <c r="CR37" s="273">
        <f t="shared" si="24"/>
        <v>0.90373333333333328</v>
      </c>
      <c r="CS37" s="273">
        <f t="shared" si="25"/>
        <v>0.92779999999999996</v>
      </c>
      <c r="CT37" s="273">
        <f t="shared" si="26"/>
        <v>0.98561151079136711</v>
      </c>
      <c r="CU37" s="273">
        <f t="shared" si="30"/>
        <v>1</v>
      </c>
      <c r="CV37" s="25">
        <f t="shared" si="31"/>
        <v>1</v>
      </c>
    </row>
    <row r="38" spans="1:100" s="274" customFormat="1" ht="174.75" hidden="1" customHeight="1" x14ac:dyDescent="0.2">
      <c r="A38" s="170" t="s">
        <v>15</v>
      </c>
      <c r="B38" s="22" t="s">
        <v>188</v>
      </c>
      <c r="C38" s="22" t="s">
        <v>117</v>
      </c>
      <c r="D38" s="22"/>
      <c r="E38" s="22" t="s">
        <v>109</v>
      </c>
      <c r="F38" s="22"/>
      <c r="G38" s="22"/>
      <c r="H38" s="163" t="s">
        <v>253</v>
      </c>
      <c r="I38" s="90" t="s">
        <v>268</v>
      </c>
      <c r="J38" s="90" t="s">
        <v>118</v>
      </c>
      <c r="K38" s="90" t="s">
        <v>118</v>
      </c>
      <c r="L38" s="22" t="s">
        <v>70</v>
      </c>
      <c r="M38" s="22" t="s">
        <v>88</v>
      </c>
      <c r="N38" s="94">
        <v>0.66500000000000004</v>
      </c>
      <c r="O38" s="94">
        <v>0</v>
      </c>
      <c r="P38" s="94">
        <v>0.68</v>
      </c>
      <c r="Q38" s="94">
        <v>0.69499999999999995</v>
      </c>
      <c r="R38" s="94" t="s">
        <v>378</v>
      </c>
      <c r="S38" s="94">
        <v>0.70499999999999996</v>
      </c>
      <c r="T38" s="22" t="s">
        <v>77</v>
      </c>
      <c r="U38" s="94"/>
      <c r="V38" s="94"/>
      <c r="W38" s="94"/>
      <c r="X38" s="94"/>
      <c r="Y38" s="94"/>
      <c r="Z38" s="94"/>
      <c r="AA38" s="94"/>
      <c r="AB38" s="94"/>
      <c r="AC38" s="26"/>
      <c r="AD38" s="26"/>
      <c r="AE38" s="17"/>
      <c r="AF38" s="17"/>
      <c r="AG38" s="104"/>
      <c r="AH38" s="104"/>
      <c r="AI38" s="133"/>
      <c r="AJ38" s="133"/>
      <c r="AK38" s="133"/>
      <c r="AL38" s="133"/>
      <c r="AM38" s="103" t="s">
        <v>584</v>
      </c>
      <c r="AN38" s="103" t="s">
        <v>584</v>
      </c>
      <c r="AO38" s="109" t="s">
        <v>299</v>
      </c>
      <c r="AP38" s="109" t="s">
        <v>190</v>
      </c>
      <c r="AQ38" s="90" t="s">
        <v>488</v>
      </c>
      <c r="AR38" s="22" t="s">
        <v>9</v>
      </c>
      <c r="AS38" s="22" t="s">
        <v>104</v>
      </c>
      <c r="AT38" s="110" t="s">
        <v>101</v>
      </c>
      <c r="AU38" s="22" t="s">
        <v>162</v>
      </c>
      <c r="AV38" s="21">
        <v>43466</v>
      </c>
      <c r="AW38" s="21">
        <v>44926</v>
      </c>
      <c r="AX38" s="94">
        <v>0</v>
      </c>
      <c r="AY38" s="94">
        <v>1</v>
      </c>
      <c r="AZ38" s="94">
        <v>1</v>
      </c>
      <c r="BA38" s="94">
        <v>1</v>
      </c>
      <c r="BB38" s="94">
        <v>1</v>
      </c>
      <c r="BC38" s="94">
        <v>0</v>
      </c>
      <c r="BD38" s="94">
        <v>0</v>
      </c>
      <c r="BE38" s="94">
        <f>10/18</f>
        <v>0.55555555555555558</v>
      </c>
      <c r="BF38" s="94">
        <v>0.83330000000000004</v>
      </c>
      <c r="BG38" s="98">
        <v>0.93333333333333335</v>
      </c>
      <c r="BH38" s="98">
        <v>0.93333333333333335</v>
      </c>
      <c r="BI38" s="138">
        <v>0.95450000000000002</v>
      </c>
      <c r="BJ38" s="288">
        <v>0.85560000000000003</v>
      </c>
      <c r="BK38" s="205"/>
      <c r="BL38" s="205"/>
      <c r="BM38" s="206"/>
      <c r="BN38" s="206"/>
      <c r="BO38" s="154" t="s">
        <v>437</v>
      </c>
      <c r="BP38" s="289" t="s">
        <v>556</v>
      </c>
      <c r="BQ38" s="212"/>
      <c r="BR38" s="155"/>
      <c r="BS38" s="232"/>
      <c r="BT38" s="57" t="s">
        <v>404</v>
      </c>
      <c r="BU38" s="214"/>
      <c r="BV38" s="214"/>
      <c r="BW38" s="177"/>
      <c r="BX38" s="177"/>
      <c r="BY38" s="315">
        <v>0.85560000000000003</v>
      </c>
      <c r="BZ38" s="315">
        <v>0.85560000000000003</v>
      </c>
      <c r="CA38" s="192"/>
      <c r="CB38" s="104"/>
      <c r="CC38" s="272"/>
      <c r="CD38" s="21">
        <v>44377</v>
      </c>
      <c r="CE38" s="22" t="str">
        <f t="shared" si="12"/>
        <v>6. Fortale</v>
      </c>
      <c r="CF38" s="22" t="str">
        <f t="shared" si="13"/>
        <v>4. Liderar el desarrollo del Modelo Integrado de Planeación y Gestión (MIPG).</v>
      </c>
      <c r="CG38" s="22" t="str">
        <f t="shared" si="14"/>
        <v>4.2 Fortalecimiento de las capacidades en Modelo Integrado de Planeación y Gestión  en la entidad.</v>
      </c>
      <c r="CH38" s="22" t="str">
        <f t="shared" si="15"/>
        <v xml:space="preserve">Resultado </v>
      </c>
      <c r="CI38" s="22" t="str">
        <f t="shared" si="16"/>
        <v>Gestión</v>
      </c>
      <c r="CJ38" s="273" t="str">
        <f t="shared" si="17"/>
        <v/>
      </c>
      <c r="CK38" s="273" t="str">
        <f t="shared" si="18"/>
        <v/>
      </c>
      <c r="CL38" s="273">
        <f t="shared" si="35"/>
        <v>0.42780000000000001</v>
      </c>
      <c r="CM38" s="273">
        <f t="shared" si="36"/>
        <v>0.42780000000000001</v>
      </c>
      <c r="CN38" s="23"/>
      <c r="CO38" s="273">
        <f t="shared" si="21"/>
        <v>0.91610000000000003</v>
      </c>
      <c r="CP38" s="273">
        <f t="shared" si="22"/>
        <v>0.92658875000000007</v>
      </c>
      <c r="CQ38" s="273">
        <f t="shared" si="23"/>
        <v>0.90373333333333328</v>
      </c>
      <c r="CR38" s="273">
        <f t="shared" si="24"/>
        <v>0.90373333333333328</v>
      </c>
      <c r="CS38" s="273">
        <f t="shared" si="25"/>
        <v>0.92779999999999996</v>
      </c>
      <c r="CT38" s="273" t="str">
        <f t="shared" si="26"/>
        <v/>
      </c>
      <c r="CU38" s="273">
        <f t="shared" si="30"/>
        <v>0.85560000000000003</v>
      </c>
      <c r="CV38" s="25">
        <f t="shared" si="31"/>
        <v>0.85560000000000003</v>
      </c>
    </row>
    <row r="39" spans="1:100" s="274" customFormat="1" ht="135" hidden="1" customHeight="1" x14ac:dyDescent="0.2">
      <c r="A39" s="170" t="s">
        <v>15</v>
      </c>
      <c r="B39" s="22" t="s">
        <v>188</v>
      </c>
      <c r="C39" s="22" t="s">
        <v>117</v>
      </c>
      <c r="D39" s="22"/>
      <c r="E39" s="22" t="s">
        <v>109</v>
      </c>
      <c r="F39" s="22"/>
      <c r="G39" s="22"/>
      <c r="H39" s="163" t="s">
        <v>253</v>
      </c>
      <c r="I39" s="90" t="s">
        <v>342</v>
      </c>
      <c r="J39" s="90" t="s">
        <v>186</v>
      </c>
      <c r="K39" s="90" t="s">
        <v>119</v>
      </c>
      <c r="L39" s="22" t="s">
        <v>76</v>
      </c>
      <c r="M39" s="100" t="s">
        <v>71</v>
      </c>
      <c r="N39" s="91" t="s">
        <v>101</v>
      </c>
      <c r="O39" s="92">
        <v>0</v>
      </c>
      <c r="P39" s="92">
        <v>0</v>
      </c>
      <c r="Q39" s="91">
        <v>1</v>
      </c>
      <c r="R39" s="92">
        <v>0</v>
      </c>
      <c r="S39" s="101">
        <v>1</v>
      </c>
      <c r="T39" s="22" t="s">
        <v>72</v>
      </c>
      <c r="U39" s="92">
        <v>0</v>
      </c>
      <c r="V39" s="92">
        <v>0</v>
      </c>
      <c r="W39" s="92">
        <v>0</v>
      </c>
      <c r="X39" s="92">
        <v>0</v>
      </c>
      <c r="Y39" s="92">
        <v>0</v>
      </c>
      <c r="Z39" s="92">
        <v>0</v>
      </c>
      <c r="AA39" s="102">
        <v>0.6714</v>
      </c>
      <c r="AB39" s="290">
        <v>0.23770000000000002</v>
      </c>
      <c r="AC39" s="233"/>
      <c r="AD39" s="233"/>
      <c r="AE39" s="234"/>
      <c r="AF39" s="234"/>
      <c r="AG39" s="104" t="s">
        <v>582</v>
      </c>
      <c r="AH39" s="291" t="s">
        <v>583</v>
      </c>
      <c r="AI39" s="192"/>
      <c r="AJ39" s="192"/>
      <c r="AK39" s="192"/>
      <c r="AL39" s="198"/>
      <c r="AM39" s="103">
        <v>0.90910000000000002</v>
      </c>
      <c r="AN39" s="103">
        <v>0.90910000000000002</v>
      </c>
      <c r="AO39" s="109" t="s">
        <v>300</v>
      </c>
      <c r="AP39" s="109" t="s">
        <v>190</v>
      </c>
      <c r="AQ39" s="90" t="s">
        <v>488</v>
      </c>
      <c r="AR39" s="22" t="s">
        <v>9</v>
      </c>
      <c r="AS39" s="113" t="s">
        <v>104</v>
      </c>
      <c r="AT39" s="110" t="s">
        <v>101</v>
      </c>
      <c r="AU39" s="22" t="s">
        <v>162</v>
      </c>
      <c r="AV39" s="21">
        <v>43831</v>
      </c>
      <c r="AW39" s="114">
        <v>44926</v>
      </c>
      <c r="AX39" s="94">
        <v>0</v>
      </c>
      <c r="AY39" s="94">
        <v>1</v>
      </c>
      <c r="AZ39" s="94">
        <v>1</v>
      </c>
      <c r="BA39" s="94">
        <v>1</v>
      </c>
      <c r="BB39" s="94">
        <v>1</v>
      </c>
      <c r="BC39" s="94">
        <v>0</v>
      </c>
      <c r="BD39" s="94">
        <v>0</v>
      </c>
      <c r="BE39" s="94">
        <f>10/18</f>
        <v>0.55555555555555558</v>
      </c>
      <c r="BF39" s="94">
        <v>0.83330000000000004</v>
      </c>
      <c r="BG39" s="98">
        <v>0.93333333333333335</v>
      </c>
      <c r="BH39" s="98">
        <v>0.93333333333333335</v>
      </c>
      <c r="BI39" s="138">
        <v>0.95450000000000002</v>
      </c>
      <c r="BJ39" s="288">
        <v>0.85560000000000003</v>
      </c>
      <c r="BK39" s="205"/>
      <c r="BL39" s="205"/>
      <c r="BM39" s="206"/>
      <c r="BN39" s="206"/>
      <c r="BO39" s="154" t="s">
        <v>437</v>
      </c>
      <c r="BP39" s="289" t="s">
        <v>556</v>
      </c>
      <c r="BQ39" s="212"/>
      <c r="BR39" s="155"/>
      <c r="BS39" s="232"/>
      <c r="BT39" s="57" t="s">
        <v>404</v>
      </c>
      <c r="BU39" s="214"/>
      <c r="BV39" s="214"/>
      <c r="BW39" s="177"/>
      <c r="BX39" s="177"/>
      <c r="BY39" s="315">
        <v>0.85560000000000003</v>
      </c>
      <c r="BZ39" s="315">
        <v>0.85560000000000003</v>
      </c>
      <c r="CA39" s="228"/>
      <c r="CB39" s="292"/>
      <c r="CC39" s="293"/>
      <c r="CD39" s="21">
        <v>44377</v>
      </c>
      <c r="CE39" s="22" t="str">
        <f t="shared" si="12"/>
        <v>6. Fortale</v>
      </c>
      <c r="CF39" s="22" t="str">
        <f t="shared" si="13"/>
        <v>5. Certificar la entidad en cuatro Normas Internacionales:- ISO 9001: Gestión de Calidad; - 14001: G</v>
      </c>
      <c r="CG39" s="22" t="str">
        <f t="shared" si="14"/>
        <v>5.1 Fortalecimiento de las capacidades en temas de Sistemas de Gestión en la entidad.</v>
      </c>
      <c r="CH39" s="22" t="str">
        <f t="shared" si="15"/>
        <v xml:space="preserve">Producto </v>
      </c>
      <c r="CI39" s="22" t="str">
        <f t="shared" si="16"/>
        <v>Gestión</v>
      </c>
      <c r="CJ39" s="273" t="str">
        <f t="shared" si="17"/>
        <v/>
      </c>
      <c r="CK39" s="273">
        <f t="shared" si="18"/>
        <v>8.264545454545455E-2</v>
      </c>
      <c r="CL39" s="273">
        <f t="shared" si="35"/>
        <v>0.85560000000000003</v>
      </c>
      <c r="CM39" s="273">
        <f t="shared" si="36"/>
        <v>0.85560000000000003</v>
      </c>
      <c r="CN39" s="23"/>
      <c r="CO39" s="273">
        <f t="shared" si="21"/>
        <v>0.91610000000000003</v>
      </c>
      <c r="CP39" s="273">
        <f t="shared" si="22"/>
        <v>0.92658875000000007</v>
      </c>
      <c r="CQ39" s="273">
        <f t="shared" si="23"/>
        <v>0.90373333333333328</v>
      </c>
      <c r="CR39" s="273">
        <f t="shared" si="24"/>
        <v>0.90373333333333328</v>
      </c>
      <c r="CS39" s="273">
        <f t="shared" si="25"/>
        <v>0.85560000000000003</v>
      </c>
      <c r="CT39" s="273">
        <f t="shared" si="26"/>
        <v>0.90910000000000002</v>
      </c>
      <c r="CU39" s="273">
        <f t="shared" si="30"/>
        <v>0.85560000000000003</v>
      </c>
      <c r="CV39" s="25">
        <f t="shared" si="31"/>
        <v>0.85560000000000003</v>
      </c>
    </row>
    <row r="40" spans="1:100" s="274" customFormat="1" ht="86.1" hidden="1" customHeight="1" x14ac:dyDescent="0.2">
      <c r="A40" s="171" t="s">
        <v>10</v>
      </c>
      <c r="B40" s="22" t="s">
        <v>228</v>
      </c>
      <c r="C40" s="22" t="s">
        <v>102</v>
      </c>
      <c r="D40" s="22" t="s">
        <v>68</v>
      </c>
      <c r="E40" s="22" t="s">
        <v>68</v>
      </c>
      <c r="F40" s="22" t="s">
        <v>68</v>
      </c>
      <c r="G40" s="22" t="s">
        <v>131</v>
      </c>
      <c r="H40" s="90" t="s">
        <v>252</v>
      </c>
      <c r="I40" s="90" t="s">
        <v>269</v>
      </c>
      <c r="J40" s="90" t="s">
        <v>229</v>
      </c>
      <c r="K40" s="90" t="s">
        <v>230</v>
      </c>
      <c r="L40" s="22" t="s">
        <v>70</v>
      </c>
      <c r="M40" s="22" t="s">
        <v>88</v>
      </c>
      <c r="N40" s="91" t="s">
        <v>101</v>
      </c>
      <c r="O40" s="94">
        <v>0.51</v>
      </c>
      <c r="P40" s="94">
        <v>0.7</v>
      </c>
      <c r="Q40" s="94">
        <v>0.8</v>
      </c>
      <c r="R40" s="94">
        <v>1</v>
      </c>
      <c r="S40" s="94">
        <v>1</v>
      </c>
      <c r="T40" s="22" t="s">
        <v>77</v>
      </c>
      <c r="U40" s="94">
        <v>0.41</v>
      </c>
      <c r="V40" s="94">
        <f>((BD40*0.35)/AY40)+(((148-BD41)/(148-60))*0.35)+((BD42*0.3)/100%)*P40</f>
        <v>0.40763951096139289</v>
      </c>
      <c r="W40" s="94">
        <f>((BE40*0.35)/AY40)+(((148-BE41)/(148-60))*0.35)+((BE42*0.3)/100%)*P40</f>
        <v>0.60285275994552345</v>
      </c>
      <c r="X40" s="94">
        <f>((BF40*0.35)/AY40)+(((148-BF41)/(148-60))*0.35)+((BF42*0.3)/100%)*P40</f>
        <v>0.60312873125048727</v>
      </c>
      <c r="Y40" s="94">
        <f>((BG40*0.35)/AY40)+(((148-BG41)/(148-AY41))*0.35)+((BG42*0.3)/100%)*P40</f>
        <v>1.1523235294117646</v>
      </c>
      <c r="Z40" s="94">
        <f>((BH40*0.35)/AY40)+(((148-BH41)/(148-AY41))*0.35)+((BH42*0.3)/100%)*P40</f>
        <v>1.1523235294117646</v>
      </c>
      <c r="AA40" s="98">
        <f>((BI40*0.35)/AZ40)+(((148-BI41)/(148-AZ41))*0.35)+((BI42*0.3)/100%)*Q40</f>
        <v>0.94282015103296379</v>
      </c>
      <c r="AB40" s="138">
        <f>((BJ40*0.35)/AZ40)+(((148-BJ41)/(148-AZ41))*0.35)+((100*0.3)/100)*Q40</f>
        <v>0.97643717461533608</v>
      </c>
      <c r="AC40" s="177"/>
      <c r="AD40" s="177"/>
      <c r="AE40" s="177"/>
      <c r="AF40" s="177"/>
      <c r="AG40" s="104" t="s">
        <v>438</v>
      </c>
      <c r="AH40" s="104" t="s">
        <v>537</v>
      </c>
      <c r="AI40" s="192"/>
      <c r="AJ40" s="192"/>
      <c r="AK40" s="192"/>
      <c r="AL40" s="194"/>
      <c r="AM40" s="103">
        <v>1.0000100000000001</v>
      </c>
      <c r="AN40" s="103">
        <v>1</v>
      </c>
      <c r="AO40" s="109" t="s">
        <v>301</v>
      </c>
      <c r="AP40" s="115" t="s">
        <v>231</v>
      </c>
      <c r="AQ40" s="116" t="s">
        <v>232</v>
      </c>
      <c r="AR40" s="110" t="s">
        <v>75</v>
      </c>
      <c r="AS40" s="110" t="s">
        <v>88</v>
      </c>
      <c r="AT40" s="110">
        <v>0.67</v>
      </c>
      <c r="AU40" s="22" t="s">
        <v>77</v>
      </c>
      <c r="AV40" s="21">
        <v>43466</v>
      </c>
      <c r="AW40" s="21">
        <v>44926</v>
      </c>
      <c r="AX40" s="94">
        <v>0.65</v>
      </c>
      <c r="AY40" s="94">
        <v>0.68</v>
      </c>
      <c r="AZ40" s="94">
        <v>0.73</v>
      </c>
      <c r="BA40" s="94">
        <v>0.8</v>
      </c>
      <c r="BB40" s="94">
        <v>0.8</v>
      </c>
      <c r="BC40" s="94">
        <v>0.65</v>
      </c>
      <c r="BD40" s="94">
        <f>4621/7061</f>
        <v>0.65443988103668038</v>
      </c>
      <c r="BE40" s="94">
        <f>(4627/7061)</f>
        <v>0.65528961903413119</v>
      </c>
      <c r="BF40" s="94">
        <f>(4638/7072)</f>
        <v>0.65582579185520362</v>
      </c>
      <c r="BG40" s="94">
        <v>0.77</v>
      </c>
      <c r="BH40" s="94">
        <v>0.77</v>
      </c>
      <c r="BI40" s="94">
        <f>(746+761+769)/(991+1016+1056)</f>
        <v>0.74306235716617697</v>
      </c>
      <c r="BJ40" s="98">
        <f>(801+828+865)/(1093+1131+1176)</f>
        <v>0.73352941176470587</v>
      </c>
      <c r="BK40" s="176"/>
      <c r="BL40" s="176"/>
      <c r="BM40" s="177"/>
      <c r="BN40" s="177"/>
      <c r="BO40" s="154" t="s">
        <v>415</v>
      </c>
      <c r="BP40" s="147" t="s">
        <v>538</v>
      </c>
      <c r="BQ40" s="212"/>
      <c r="BR40" s="155"/>
      <c r="BS40" s="192"/>
      <c r="BT40" s="20">
        <v>2454746800</v>
      </c>
      <c r="BU40" s="214"/>
      <c r="BV40" s="214"/>
      <c r="BW40" s="177"/>
      <c r="BX40" s="177"/>
      <c r="BY40" s="315">
        <v>1.0000100000000001</v>
      </c>
      <c r="BZ40" s="315">
        <v>0.96250000000000002</v>
      </c>
      <c r="CA40" s="192"/>
      <c r="CB40" s="104"/>
      <c r="CC40" s="272"/>
      <c r="CD40" s="21">
        <v>44377</v>
      </c>
      <c r="CE40" s="22" t="str">
        <f t="shared" si="12"/>
        <v>5. Fortale</v>
      </c>
      <c r="CF40" s="22" t="str">
        <f t="shared" ref="CF40:CF63" si="37">+MID(I40,1,100)</f>
        <v>1. Fortalecer el proceso de Consulta previa  en el país, garantizando de manera  oportuna y eficient</v>
      </c>
      <c r="CG40" s="22" t="str">
        <f t="shared" ref="CG40:CG71" si="38">+MID(AO40,1,100)</f>
        <v>1.1 Aumentar los procesos consultivos protocolizados en un término de 6 meses.</v>
      </c>
      <c r="CH40" s="22" t="str">
        <f t="shared" ref="CH40:CH63" si="39">+IF(OR(L40="Producto",L40="Resultado"),"Producto",L40)</f>
        <v xml:space="preserve">Resultado </v>
      </c>
      <c r="CI40" s="22" t="str">
        <f t="shared" ref="CI40:CI71" si="40">+IF(OR(AR40="Producto",AR40="Resultado"),"Producto",AR40)</f>
        <v>Producto</v>
      </c>
      <c r="CJ40" s="273">
        <f t="shared" si="17"/>
        <v>3.0303333333333335E-2</v>
      </c>
      <c r="CK40" s="273">
        <f t="shared" si="18"/>
        <v>5.2632105263157897E-2</v>
      </c>
      <c r="CL40" s="273">
        <f t="shared" si="35"/>
        <v>0.33333666666666667</v>
      </c>
      <c r="CM40" s="273">
        <f t="shared" si="36"/>
        <v>0.32083333333333336</v>
      </c>
      <c r="CN40" s="23"/>
      <c r="CO40" s="273">
        <f t="shared" si="21"/>
        <v>0.63660384774084255</v>
      </c>
      <c r="CP40" s="273">
        <f t="shared" si="22"/>
        <v>0.7442974658112228</v>
      </c>
      <c r="CQ40" s="273">
        <f t="shared" si="23"/>
        <v>0.81818363636363634</v>
      </c>
      <c r="CR40" s="273">
        <f t="shared" si="24"/>
        <v>0.84835958637002939</v>
      </c>
      <c r="CS40" s="273">
        <f t="shared" si="25"/>
        <v>0.66667333333333334</v>
      </c>
      <c r="CT40" s="273">
        <f t="shared" si="26"/>
        <v>1.0000100000000001</v>
      </c>
      <c r="CU40" s="273">
        <f t="shared" si="30"/>
        <v>1.0000100000000001</v>
      </c>
      <c r="CV40" s="25">
        <f t="shared" ref="CV40:CV71" si="41">+IFERROR(IF(CG40&lt;&gt;CG39,IF(OR(BZ40="No aplica, no hay meta",BZ40="No aplica"),"",IF(ISTEXT(BZ40)=TRUE,0,IF(BZ40&gt;1,1.00001,BZ40))),""),0)</f>
        <v>0.96250000000000002</v>
      </c>
    </row>
    <row r="41" spans="1:100" s="274" customFormat="1" ht="86.1" hidden="1" customHeight="1" x14ac:dyDescent="0.2">
      <c r="A41" s="171" t="s">
        <v>10</v>
      </c>
      <c r="B41" s="22" t="s">
        <v>228</v>
      </c>
      <c r="C41" s="22" t="s">
        <v>132</v>
      </c>
      <c r="D41" s="22" t="s">
        <v>68</v>
      </c>
      <c r="E41" s="22" t="s">
        <v>68</v>
      </c>
      <c r="F41" s="22" t="s">
        <v>68</v>
      </c>
      <c r="G41" s="22" t="s">
        <v>131</v>
      </c>
      <c r="H41" s="90" t="s">
        <v>252</v>
      </c>
      <c r="I41" s="90" t="s">
        <v>269</v>
      </c>
      <c r="J41" s="90" t="s">
        <v>229</v>
      </c>
      <c r="K41" s="90" t="s">
        <v>230</v>
      </c>
      <c r="L41" s="22" t="s">
        <v>70</v>
      </c>
      <c r="M41" s="22" t="s">
        <v>88</v>
      </c>
      <c r="N41" s="91" t="s">
        <v>101</v>
      </c>
      <c r="O41" s="94">
        <v>0.51</v>
      </c>
      <c r="P41" s="94">
        <v>0.7</v>
      </c>
      <c r="Q41" s="94">
        <v>0.8</v>
      </c>
      <c r="R41" s="94">
        <v>1</v>
      </c>
      <c r="S41" s="94">
        <v>1</v>
      </c>
      <c r="T41" s="22" t="s">
        <v>77</v>
      </c>
      <c r="U41" s="94"/>
      <c r="V41" s="94"/>
      <c r="W41" s="94"/>
      <c r="X41" s="94"/>
      <c r="Y41" s="94"/>
      <c r="Z41" s="94"/>
      <c r="AA41" s="94"/>
      <c r="AB41" s="98"/>
      <c r="AC41" s="26"/>
      <c r="AD41" s="26"/>
      <c r="AE41" s="17"/>
      <c r="AF41" s="17"/>
      <c r="AG41" s="104"/>
      <c r="AH41" s="104"/>
      <c r="AI41" s="133"/>
      <c r="AJ41" s="133"/>
      <c r="AK41" s="133"/>
      <c r="AL41" s="8"/>
      <c r="AM41" s="103" t="s">
        <v>584</v>
      </c>
      <c r="AN41" s="103" t="s">
        <v>584</v>
      </c>
      <c r="AO41" s="109" t="s">
        <v>302</v>
      </c>
      <c r="AP41" s="115" t="s">
        <v>233</v>
      </c>
      <c r="AQ41" s="116" t="s">
        <v>234</v>
      </c>
      <c r="AR41" s="110" t="s">
        <v>75</v>
      </c>
      <c r="AS41" s="110" t="s">
        <v>112</v>
      </c>
      <c r="AT41" s="110">
        <v>139</v>
      </c>
      <c r="AU41" s="22" t="s">
        <v>72</v>
      </c>
      <c r="AV41" s="21">
        <v>43466</v>
      </c>
      <c r="AW41" s="21">
        <v>44926</v>
      </c>
      <c r="AX41" s="92">
        <v>130</v>
      </c>
      <c r="AY41" s="117">
        <v>123</v>
      </c>
      <c r="AZ41" s="117">
        <v>87</v>
      </c>
      <c r="BA41" s="117">
        <v>60</v>
      </c>
      <c r="BB41" s="117">
        <v>60</v>
      </c>
      <c r="BC41" s="117">
        <v>139</v>
      </c>
      <c r="BD41" s="117">
        <v>139</v>
      </c>
      <c r="BE41" s="92">
        <f>4825/36</f>
        <v>134.02777777777777</v>
      </c>
      <c r="BF41" s="92">
        <f>4825/36</f>
        <v>134.02777777777777</v>
      </c>
      <c r="BG41" s="118">
        <v>109</v>
      </c>
      <c r="BH41" s="118">
        <v>109</v>
      </c>
      <c r="BI41" s="119">
        <f>(176+136+126)/(2+2+1)</f>
        <v>87.6</v>
      </c>
      <c r="BJ41" s="294">
        <f>(224+440+64.5)/(3+5+1)</f>
        <v>80.944444444444443</v>
      </c>
      <c r="BK41" s="207"/>
      <c r="BL41" s="207"/>
      <c r="BM41" s="207"/>
      <c r="BN41" s="207"/>
      <c r="BO41" s="154" t="s">
        <v>439</v>
      </c>
      <c r="BP41" s="147" t="s">
        <v>539</v>
      </c>
      <c r="BQ41" s="212"/>
      <c r="BR41" s="155"/>
      <c r="BS41" s="192"/>
      <c r="BT41" s="20">
        <v>2131250000</v>
      </c>
      <c r="BU41" s="214"/>
      <c r="BV41" s="214"/>
      <c r="BW41" s="177"/>
      <c r="BX41" s="177"/>
      <c r="BY41" s="315">
        <v>1.0000100000000001</v>
      </c>
      <c r="BZ41" s="315">
        <v>0.73488045007032354</v>
      </c>
      <c r="CA41" s="192"/>
      <c r="CB41" s="104"/>
      <c r="CC41" s="272"/>
      <c r="CD41" s="21">
        <v>44377</v>
      </c>
      <c r="CE41" s="22" t="str">
        <f t="shared" si="12"/>
        <v>5. Fortale</v>
      </c>
      <c r="CF41" s="22" t="str">
        <f t="shared" si="37"/>
        <v>1. Fortalecer el proceso de Consulta previa  en el país, garantizando de manera  oportuna y eficient</v>
      </c>
      <c r="CG41" s="22" t="str">
        <f t="shared" si="38"/>
        <v>1.2 Disminuir los tiempos de respuesta para la expedición de los actos administrativos que requieren</v>
      </c>
      <c r="CH41" s="22" t="str">
        <f t="shared" si="39"/>
        <v xml:space="preserve">Resultado </v>
      </c>
      <c r="CI41" s="22" t="str">
        <f t="shared" si="40"/>
        <v>Producto</v>
      </c>
      <c r="CJ41" s="273" t="str">
        <f t="shared" si="17"/>
        <v/>
      </c>
      <c r="CK41" s="273" t="str">
        <f t="shared" si="18"/>
        <v/>
      </c>
      <c r="CL41" s="273">
        <f t="shared" si="35"/>
        <v>0.33333666666666667</v>
      </c>
      <c r="CM41" s="273">
        <f t="shared" si="36"/>
        <v>0.24496015002344118</v>
      </c>
      <c r="CN41" s="23"/>
      <c r="CO41" s="273">
        <f t="shared" si="21"/>
        <v>0.63660384774084255</v>
      </c>
      <c r="CP41" s="273">
        <f t="shared" si="22"/>
        <v>0.7442974658112228</v>
      </c>
      <c r="CQ41" s="273">
        <f t="shared" si="23"/>
        <v>0.81818363636363634</v>
      </c>
      <c r="CR41" s="273">
        <f t="shared" si="24"/>
        <v>0.84835958637002939</v>
      </c>
      <c r="CS41" s="273">
        <f t="shared" si="25"/>
        <v>0.66667333333333334</v>
      </c>
      <c r="CT41" s="273" t="str">
        <f t="shared" si="26"/>
        <v/>
      </c>
      <c r="CU41" s="273">
        <f t="shared" si="30"/>
        <v>1.0000100000000001</v>
      </c>
      <c r="CV41" s="25">
        <f t="shared" si="41"/>
        <v>0.73488045007032354</v>
      </c>
    </row>
    <row r="42" spans="1:100" s="274" customFormat="1" ht="177.75" hidden="1" customHeight="1" x14ac:dyDescent="0.2">
      <c r="A42" s="171" t="s">
        <v>10</v>
      </c>
      <c r="B42" s="22" t="s">
        <v>228</v>
      </c>
      <c r="C42" s="22" t="s">
        <v>132</v>
      </c>
      <c r="D42" s="22" t="s">
        <v>68</v>
      </c>
      <c r="E42" s="22" t="s">
        <v>68</v>
      </c>
      <c r="F42" s="22" t="s">
        <v>68</v>
      </c>
      <c r="G42" s="22" t="s">
        <v>131</v>
      </c>
      <c r="H42" s="90" t="s">
        <v>252</v>
      </c>
      <c r="I42" s="90" t="s">
        <v>269</v>
      </c>
      <c r="J42" s="90" t="s">
        <v>229</v>
      </c>
      <c r="K42" s="90" t="s">
        <v>230</v>
      </c>
      <c r="L42" s="22" t="s">
        <v>70</v>
      </c>
      <c r="M42" s="22" t="s">
        <v>88</v>
      </c>
      <c r="N42" s="91" t="s">
        <v>101</v>
      </c>
      <c r="O42" s="94">
        <v>0.51</v>
      </c>
      <c r="P42" s="94">
        <v>0.7</v>
      </c>
      <c r="Q42" s="94">
        <v>0.8</v>
      </c>
      <c r="R42" s="94">
        <v>1</v>
      </c>
      <c r="S42" s="94">
        <v>1</v>
      </c>
      <c r="T42" s="22" t="s">
        <v>77</v>
      </c>
      <c r="U42" s="94"/>
      <c r="V42" s="94"/>
      <c r="W42" s="94"/>
      <c r="X42" s="94"/>
      <c r="Y42" s="94"/>
      <c r="Z42" s="94"/>
      <c r="AA42" s="94"/>
      <c r="AB42" s="98"/>
      <c r="AC42" s="26"/>
      <c r="AD42" s="26"/>
      <c r="AE42" s="17"/>
      <c r="AF42" s="17"/>
      <c r="AG42" s="104"/>
      <c r="AH42" s="104"/>
      <c r="AI42" s="133"/>
      <c r="AJ42" s="133"/>
      <c r="AK42" s="133"/>
      <c r="AL42" s="8"/>
      <c r="AM42" s="103" t="s">
        <v>584</v>
      </c>
      <c r="AN42" s="103" t="s">
        <v>584</v>
      </c>
      <c r="AO42" s="109" t="s">
        <v>303</v>
      </c>
      <c r="AP42" s="115" t="s">
        <v>235</v>
      </c>
      <c r="AQ42" s="116" t="s">
        <v>236</v>
      </c>
      <c r="AR42" s="110" t="s">
        <v>75</v>
      </c>
      <c r="AS42" s="110" t="s">
        <v>104</v>
      </c>
      <c r="AT42" s="110" t="s">
        <v>101</v>
      </c>
      <c r="AU42" s="22" t="s">
        <v>77</v>
      </c>
      <c r="AV42" s="21">
        <v>43831</v>
      </c>
      <c r="AW42" s="21">
        <v>44926</v>
      </c>
      <c r="AX42" s="94">
        <v>0</v>
      </c>
      <c r="AY42" s="94">
        <v>1</v>
      </c>
      <c r="AZ42" s="94">
        <v>1</v>
      </c>
      <c r="BA42" s="94">
        <v>1</v>
      </c>
      <c r="BB42" s="94">
        <v>1</v>
      </c>
      <c r="BC42" s="94">
        <v>0</v>
      </c>
      <c r="BD42" s="94">
        <v>0.16666666666666666</v>
      </c>
      <c r="BE42" s="94">
        <f>2/2</f>
        <v>1</v>
      </c>
      <c r="BF42" s="94">
        <v>1</v>
      </c>
      <c r="BG42" s="94">
        <v>1</v>
      </c>
      <c r="BH42" s="94">
        <v>1</v>
      </c>
      <c r="BI42" s="94">
        <v>1</v>
      </c>
      <c r="BJ42" s="98" t="s">
        <v>527</v>
      </c>
      <c r="BK42" s="176"/>
      <c r="BL42" s="176"/>
      <c r="BM42" s="176"/>
      <c r="BN42" s="176"/>
      <c r="BO42" s="154" t="s">
        <v>403</v>
      </c>
      <c r="BP42" s="147" t="s">
        <v>403</v>
      </c>
      <c r="BQ42" s="212"/>
      <c r="BR42" s="155"/>
      <c r="BS42" s="192"/>
      <c r="BT42" s="20"/>
      <c r="BU42" s="214"/>
      <c r="BV42" s="214"/>
      <c r="BW42" s="177"/>
      <c r="BX42" s="177"/>
      <c r="BY42" s="315">
        <v>0</v>
      </c>
      <c r="BZ42" s="315">
        <v>0.5</v>
      </c>
      <c r="CA42" s="192"/>
      <c r="CB42" s="104"/>
      <c r="CC42" s="272"/>
      <c r="CD42" s="21">
        <v>44377</v>
      </c>
      <c r="CE42" s="22" t="str">
        <f t="shared" si="12"/>
        <v>5. Fortale</v>
      </c>
      <c r="CF42" s="22" t="str">
        <f t="shared" si="37"/>
        <v>1. Fortalecer el proceso de Consulta previa  en el país, garantizando de manera  oportuna y eficient</v>
      </c>
      <c r="CG42" s="22" t="str">
        <f t="shared" si="38"/>
        <v>1.3 Fortalecer el marco legal de la consulta previa</v>
      </c>
      <c r="CH42" s="22" t="str">
        <f t="shared" si="39"/>
        <v xml:space="preserve">Resultado </v>
      </c>
      <c r="CI42" s="22" t="str">
        <f t="shared" si="40"/>
        <v>Producto</v>
      </c>
      <c r="CJ42" s="273" t="str">
        <f t="shared" si="17"/>
        <v/>
      </c>
      <c r="CK42" s="273" t="str">
        <f t="shared" si="18"/>
        <v/>
      </c>
      <c r="CL42" s="273">
        <f t="shared" si="35"/>
        <v>0</v>
      </c>
      <c r="CM42" s="273">
        <f t="shared" si="36"/>
        <v>0.16666666666666666</v>
      </c>
      <c r="CN42" s="23"/>
      <c r="CO42" s="273">
        <f t="shared" si="21"/>
        <v>0.63660384774084255</v>
      </c>
      <c r="CP42" s="273">
        <f t="shared" si="22"/>
        <v>0.7442974658112228</v>
      </c>
      <c r="CQ42" s="273">
        <f t="shared" si="23"/>
        <v>0.81818363636363634</v>
      </c>
      <c r="CR42" s="273">
        <f t="shared" si="24"/>
        <v>0.84835958637002939</v>
      </c>
      <c r="CS42" s="273">
        <f t="shared" si="25"/>
        <v>0.66667333333333334</v>
      </c>
      <c r="CT42" s="273" t="str">
        <f t="shared" si="26"/>
        <v/>
      </c>
      <c r="CU42" s="273">
        <f t="shared" si="30"/>
        <v>0</v>
      </c>
      <c r="CV42" s="25">
        <f t="shared" si="41"/>
        <v>0.5</v>
      </c>
    </row>
    <row r="43" spans="1:100" s="274" customFormat="1" ht="193.5" hidden="1" customHeight="1" x14ac:dyDescent="0.2">
      <c r="A43" s="172" t="s">
        <v>10</v>
      </c>
      <c r="B43" s="22" t="s">
        <v>618</v>
      </c>
      <c r="C43" s="22" t="s">
        <v>132</v>
      </c>
      <c r="D43" s="22" t="s">
        <v>68</v>
      </c>
      <c r="E43" s="22" t="s">
        <v>68</v>
      </c>
      <c r="F43" s="22" t="s">
        <v>68</v>
      </c>
      <c r="G43" s="22" t="s">
        <v>131</v>
      </c>
      <c r="H43" s="90" t="s">
        <v>252</v>
      </c>
      <c r="I43" s="90" t="s">
        <v>270</v>
      </c>
      <c r="J43" s="22" t="s">
        <v>405</v>
      </c>
      <c r="K43" s="22" t="s">
        <v>489</v>
      </c>
      <c r="L43" s="22" t="s">
        <v>81</v>
      </c>
      <c r="M43" s="22" t="s">
        <v>88</v>
      </c>
      <c r="N43" s="91" t="s">
        <v>101</v>
      </c>
      <c r="O43" s="94">
        <f>(1/1)*AVERAGE(AX44:AX45)</f>
        <v>1</v>
      </c>
      <c r="P43" s="94">
        <f>(60/60)*AVERAGE(AY43:AY45)</f>
        <v>0.71666666666666667</v>
      </c>
      <c r="Q43" s="94">
        <f>(60/60)*AVERAGE(AZ43:AZ45)</f>
        <v>0.8666666666666667</v>
      </c>
      <c r="R43" s="94">
        <f>(60/60)*AVERAGE(BA43:BA45)</f>
        <v>1</v>
      </c>
      <c r="S43" s="103">
        <v>1</v>
      </c>
      <c r="T43" s="22" t="s">
        <v>77</v>
      </c>
      <c r="U43" s="94">
        <f>(1/1)*AVERAGE(BC44:BC45)</f>
        <v>0.7</v>
      </c>
      <c r="V43" s="94">
        <v>0</v>
      </c>
      <c r="W43" s="94">
        <v>0.14000000000000001</v>
      </c>
      <c r="X43" s="94">
        <f>(60/60)*AVERAGE(BF43:BF45)</f>
        <v>0.27896666666666664</v>
      </c>
      <c r="Y43" s="94">
        <f>(60/60)*AVERAGE(BG43:BG45)</f>
        <v>0.67561762394914293</v>
      </c>
      <c r="Z43" s="94">
        <f>(60/60)*AVERAGE(BH43:BH45)</f>
        <v>0.67561762394914293</v>
      </c>
      <c r="AA43" s="94">
        <f>+(1/42)</f>
        <v>2.3809523809523808E-2</v>
      </c>
      <c r="AB43" s="98"/>
      <c r="AC43" s="176"/>
      <c r="AD43" s="176"/>
      <c r="AE43" s="176"/>
      <c r="AF43" s="177"/>
      <c r="AG43" s="116" t="s">
        <v>458</v>
      </c>
      <c r="AH43" s="116"/>
      <c r="AI43" s="199"/>
      <c r="AJ43" s="199"/>
      <c r="AK43" s="199"/>
      <c r="AL43" s="199"/>
      <c r="AM43" s="103">
        <v>2.7472527472527469E-2</v>
      </c>
      <c r="AN43" s="103">
        <v>0.67561762394914293</v>
      </c>
      <c r="AO43" s="90" t="s">
        <v>304</v>
      </c>
      <c r="AP43" s="90" t="s">
        <v>214</v>
      </c>
      <c r="AQ43" s="116" t="s">
        <v>215</v>
      </c>
      <c r="AR43" s="110" t="s">
        <v>75</v>
      </c>
      <c r="AS43" s="110" t="s">
        <v>88</v>
      </c>
      <c r="AT43" s="110" t="s">
        <v>101</v>
      </c>
      <c r="AU43" s="22" t="s">
        <v>77</v>
      </c>
      <c r="AV43" s="21">
        <v>43831</v>
      </c>
      <c r="AW43" s="21">
        <v>44926</v>
      </c>
      <c r="AX43" s="103">
        <v>0</v>
      </c>
      <c r="AY43" s="103">
        <v>0.15</v>
      </c>
      <c r="AZ43" s="103">
        <v>0.6</v>
      </c>
      <c r="BA43" s="103">
        <v>1</v>
      </c>
      <c r="BB43" s="103">
        <v>1</v>
      </c>
      <c r="BC43" s="94">
        <v>0</v>
      </c>
      <c r="BD43" s="94">
        <v>0.05</v>
      </c>
      <c r="BE43" s="94">
        <f>((12.5%+15%)/2)*15%</f>
        <v>2.0625000000000001E-2</v>
      </c>
      <c r="BF43" s="94">
        <f>((50%+15%+28%+30%+15%)/5)*15%</f>
        <v>4.1399999999999992E-2</v>
      </c>
      <c r="BG43" s="94">
        <f>((98%+99%+69%+100%+89%+83.3%)/6)*15%</f>
        <v>0.134575</v>
      </c>
      <c r="BH43" s="94">
        <f>((98%+99%+69%+100%+89%+83.3%)/6)*15%</f>
        <v>0.134575</v>
      </c>
      <c r="BI43" s="94">
        <v>0</v>
      </c>
      <c r="BJ43" s="116"/>
      <c r="BK43" s="176"/>
      <c r="BL43" s="176"/>
      <c r="BM43" s="177"/>
      <c r="BN43" s="177"/>
      <c r="BO43" s="147" t="s">
        <v>460</v>
      </c>
      <c r="BP43" s="147"/>
      <c r="BQ43" s="203"/>
      <c r="BR43" s="135"/>
      <c r="BS43" s="203"/>
      <c r="BT43" s="20">
        <v>46776826000</v>
      </c>
      <c r="BU43" s="199"/>
      <c r="BV43" s="199"/>
      <c r="BW43" s="177"/>
      <c r="BX43" s="177"/>
      <c r="BY43" s="315">
        <v>0</v>
      </c>
      <c r="BZ43" s="315">
        <v>0.134575</v>
      </c>
      <c r="CA43" s="203"/>
      <c r="CB43" s="147"/>
      <c r="CC43" s="293"/>
      <c r="CD43" s="21">
        <v>44377</v>
      </c>
      <c r="CE43" s="22" t="str">
        <f t="shared" si="12"/>
        <v>5. Fortale</v>
      </c>
      <c r="CF43" s="22" t="str">
        <f t="shared" si="37"/>
        <v>2. Fortalecer el diálogo intercultural Estado – Comunidades a través del cual se implementen iniciat</v>
      </c>
      <c r="CG43" s="22" t="str">
        <f t="shared" si="38"/>
        <v xml:space="preserve">2.1 Implementar el 100% de las iniciativas estratégicas para el cumplimiento de los compromisos del </v>
      </c>
      <c r="CH43" s="22" t="str">
        <f t="shared" si="39"/>
        <v xml:space="preserve">Gestión </v>
      </c>
      <c r="CI43" s="22" t="str">
        <f t="shared" si="40"/>
        <v>Producto</v>
      </c>
      <c r="CJ43" s="273" t="str">
        <f t="shared" si="17"/>
        <v/>
      </c>
      <c r="CK43" s="273">
        <f t="shared" si="18"/>
        <v>1.4459224985540772E-3</v>
      </c>
      <c r="CL43" s="273">
        <f t="shared" si="35"/>
        <v>0</v>
      </c>
      <c r="CM43" s="273">
        <f t="shared" si="36"/>
        <v>4.4858333333333333E-2</v>
      </c>
      <c r="CN43" s="23"/>
      <c r="CO43" s="273">
        <f t="shared" si="21"/>
        <v>0.63660384774084255</v>
      </c>
      <c r="CP43" s="273">
        <f t="shared" si="22"/>
        <v>0.7442974658112228</v>
      </c>
      <c r="CQ43" s="273">
        <f t="shared" si="23"/>
        <v>0.81818363636363634</v>
      </c>
      <c r="CR43" s="273">
        <f t="shared" si="24"/>
        <v>0.84835958637002939</v>
      </c>
      <c r="CS43" s="273">
        <f t="shared" si="25"/>
        <v>0.66666666666666663</v>
      </c>
      <c r="CT43" s="273">
        <f t="shared" si="26"/>
        <v>2.7472527472527469E-2</v>
      </c>
      <c r="CU43" s="273">
        <f t="shared" si="30"/>
        <v>0</v>
      </c>
      <c r="CV43" s="25">
        <f t="shared" si="41"/>
        <v>0.134575</v>
      </c>
    </row>
    <row r="44" spans="1:100" s="274" customFormat="1" ht="86.1" hidden="1" customHeight="1" x14ac:dyDescent="0.2">
      <c r="A44" s="172" t="s">
        <v>10</v>
      </c>
      <c r="B44" s="22" t="s">
        <v>618</v>
      </c>
      <c r="C44" s="22" t="s">
        <v>132</v>
      </c>
      <c r="D44" s="22" t="s">
        <v>68</v>
      </c>
      <c r="E44" s="22" t="s">
        <v>68</v>
      </c>
      <c r="F44" s="22" t="s">
        <v>68</v>
      </c>
      <c r="G44" s="22" t="s">
        <v>131</v>
      </c>
      <c r="H44" s="90" t="s">
        <v>252</v>
      </c>
      <c r="I44" s="90" t="s">
        <v>270</v>
      </c>
      <c r="J44" s="22" t="s">
        <v>405</v>
      </c>
      <c r="K44" s="22" t="s">
        <v>489</v>
      </c>
      <c r="L44" s="22" t="s">
        <v>81</v>
      </c>
      <c r="M44" s="22" t="s">
        <v>88</v>
      </c>
      <c r="N44" s="91" t="s">
        <v>101</v>
      </c>
      <c r="O44" s="94">
        <f>(1/1)*AVERAGE(AX44:AX45)</f>
        <v>1</v>
      </c>
      <c r="P44" s="94">
        <f>(60/60)*AVERAGE(AY43:AY45)</f>
        <v>0.71666666666666667</v>
      </c>
      <c r="Q44" s="94">
        <f>(60/60)*AVERAGE(AZ43:AZ45)</f>
        <v>0.8666666666666667</v>
      </c>
      <c r="R44" s="94">
        <f>(60/60)*AVERAGE(BA43:BA45)</f>
        <v>1</v>
      </c>
      <c r="S44" s="103">
        <v>1</v>
      </c>
      <c r="T44" s="22" t="s">
        <v>77</v>
      </c>
      <c r="U44" s="94"/>
      <c r="V44" s="94"/>
      <c r="W44" s="94"/>
      <c r="X44" s="94"/>
      <c r="Y44" s="94"/>
      <c r="Z44" s="94"/>
      <c r="AA44" s="94"/>
      <c r="AB44" s="98"/>
      <c r="AC44" s="26"/>
      <c r="AD44" s="26"/>
      <c r="AE44" s="17"/>
      <c r="AF44" s="17"/>
      <c r="AG44" s="116"/>
      <c r="AH44" s="116"/>
      <c r="AI44" s="134"/>
      <c r="AJ44" s="134"/>
      <c r="AK44" s="134"/>
      <c r="AL44" s="134"/>
      <c r="AM44" s="103" t="s">
        <v>584</v>
      </c>
      <c r="AN44" s="103" t="s">
        <v>584</v>
      </c>
      <c r="AO44" s="90" t="s">
        <v>305</v>
      </c>
      <c r="AP44" s="116" t="s">
        <v>153</v>
      </c>
      <c r="AQ44" s="116" t="s">
        <v>154</v>
      </c>
      <c r="AR44" s="110" t="s">
        <v>75</v>
      </c>
      <c r="AS44" s="110" t="s">
        <v>104</v>
      </c>
      <c r="AT44" s="110" t="s">
        <v>101</v>
      </c>
      <c r="AU44" s="22" t="s">
        <v>77</v>
      </c>
      <c r="AV44" s="21">
        <v>43466</v>
      </c>
      <c r="AW44" s="21">
        <v>44926</v>
      </c>
      <c r="AX44" s="94">
        <v>1</v>
      </c>
      <c r="AY44" s="94">
        <v>1</v>
      </c>
      <c r="AZ44" s="94">
        <v>1</v>
      </c>
      <c r="BA44" s="94">
        <v>1</v>
      </c>
      <c r="BB44" s="94">
        <v>1</v>
      </c>
      <c r="BC44" s="94">
        <v>0.7</v>
      </c>
      <c r="BD44" s="94">
        <v>0</v>
      </c>
      <c r="BE44" s="95">
        <v>9.8000000000000004E-2</v>
      </c>
      <c r="BF44" s="94">
        <v>0.29550000000000004</v>
      </c>
      <c r="BG44" s="94">
        <v>0.89227787184742891</v>
      </c>
      <c r="BH44" s="94">
        <v>0.89227787184742891</v>
      </c>
      <c r="BI44" s="94">
        <f>+(1/1)*100%</f>
        <v>1</v>
      </c>
      <c r="BJ44" s="98">
        <f>+(1/1)*100%</f>
        <v>1</v>
      </c>
      <c r="BK44" s="176"/>
      <c r="BL44" s="176"/>
      <c r="BM44" s="177"/>
      <c r="BN44" s="177"/>
      <c r="BO44" s="147" t="s">
        <v>490</v>
      </c>
      <c r="BP44" s="147" t="s">
        <v>558</v>
      </c>
      <c r="BQ44" s="203"/>
      <c r="BR44" s="135"/>
      <c r="BS44" s="203"/>
      <c r="BT44" s="57" t="s">
        <v>461</v>
      </c>
      <c r="BU44" s="214"/>
      <c r="BV44" s="214"/>
      <c r="BW44" s="177"/>
      <c r="BX44" s="177"/>
      <c r="BY44" s="315">
        <v>1</v>
      </c>
      <c r="BZ44" s="315">
        <v>1</v>
      </c>
      <c r="CA44" s="228"/>
      <c r="CB44" s="292"/>
      <c r="CC44" s="295"/>
      <c r="CD44" s="21">
        <v>44377</v>
      </c>
      <c r="CE44" s="22" t="str">
        <f t="shared" si="12"/>
        <v>5. Fortale</v>
      </c>
      <c r="CF44" s="22" t="str">
        <f t="shared" si="37"/>
        <v>2. Fortalecer el diálogo intercultural Estado – Comunidades a través del cual se implementen iniciat</v>
      </c>
      <c r="CG44" s="22" t="str">
        <f t="shared" si="38"/>
        <v>2.2 Promover en los territorios indígenas mejores condiciones de prosperidad, habilitación de capaci</v>
      </c>
      <c r="CH44" s="22" t="str">
        <f t="shared" si="39"/>
        <v xml:space="preserve">Gestión </v>
      </c>
      <c r="CI44" s="22" t="str">
        <f t="shared" si="40"/>
        <v>Producto</v>
      </c>
      <c r="CJ44" s="273" t="str">
        <f t="shared" si="17"/>
        <v/>
      </c>
      <c r="CK44" s="273" t="str">
        <f t="shared" si="18"/>
        <v/>
      </c>
      <c r="CL44" s="273">
        <f t="shared" si="35"/>
        <v>0.33333333333333331</v>
      </c>
      <c r="CM44" s="273">
        <f t="shared" si="36"/>
        <v>0.33333333333333331</v>
      </c>
      <c r="CN44" s="23"/>
      <c r="CO44" s="273">
        <f t="shared" si="21"/>
        <v>0.63660384774084255</v>
      </c>
      <c r="CP44" s="273">
        <f t="shared" si="22"/>
        <v>0.7442974658112228</v>
      </c>
      <c r="CQ44" s="273">
        <f t="shared" si="23"/>
        <v>0.81818363636363634</v>
      </c>
      <c r="CR44" s="273">
        <f t="shared" si="24"/>
        <v>0.84835958637002939</v>
      </c>
      <c r="CS44" s="273">
        <f t="shared" si="25"/>
        <v>0.66666666666666663</v>
      </c>
      <c r="CT44" s="273" t="str">
        <f t="shared" si="26"/>
        <v/>
      </c>
      <c r="CU44" s="273">
        <f t="shared" si="30"/>
        <v>1</v>
      </c>
      <c r="CV44" s="25">
        <f t="shared" si="41"/>
        <v>1</v>
      </c>
    </row>
    <row r="45" spans="1:100" s="274" customFormat="1" ht="86.1" hidden="1" customHeight="1" x14ac:dyDescent="0.2">
      <c r="A45" s="172" t="s">
        <v>10</v>
      </c>
      <c r="B45" s="22" t="s">
        <v>618</v>
      </c>
      <c r="C45" s="22" t="s">
        <v>132</v>
      </c>
      <c r="D45" s="22" t="s">
        <v>68</v>
      </c>
      <c r="E45" s="22" t="s">
        <v>68</v>
      </c>
      <c r="F45" s="22" t="s">
        <v>68</v>
      </c>
      <c r="G45" s="22" t="s">
        <v>131</v>
      </c>
      <c r="H45" s="90" t="s">
        <v>252</v>
      </c>
      <c r="I45" s="90" t="s">
        <v>270</v>
      </c>
      <c r="J45" s="22" t="s">
        <v>405</v>
      </c>
      <c r="K45" s="22" t="s">
        <v>489</v>
      </c>
      <c r="L45" s="22" t="s">
        <v>81</v>
      </c>
      <c r="M45" s="22" t="s">
        <v>88</v>
      </c>
      <c r="N45" s="91" t="s">
        <v>101</v>
      </c>
      <c r="O45" s="94">
        <f>(1/1)*AVERAGE(AX44:AX45)</f>
        <v>1</v>
      </c>
      <c r="P45" s="94">
        <f>(60/60)*AVERAGE(AY43:AY45)</f>
        <v>0.71666666666666667</v>
      </c>
      <c r="Q45" s="94">
        <f>(60/60)*AVERAGE(AZ43:AZ45)</f>
        <v>0.8666666666666667</v>
      </c>
      <c r="R45" s="94">
        <f>(60/60)*AVERAGE(BA43:BA45)</f>
        <v>1</v>
      </c>
      <c r="S45" s="103">
        <v>1</v>
      </c>
      <c r="T45" s="22" t="s">
        <v>77</v>
      </c>
      <c r="U45" s="94"/>
      <c r="V45" s="94"/>
      <c r="W45" s="94"/>
      <c r="X45" s="94"/>
      <c r="Y45" s="94"/>
      <c r="Z45" s="94"/>
      <c r="AA45" s="94"/>
      <c r="AB45" s="98"/>
      <c r="AC45" s="26"/>
      <c r="AD45" s="26"/>
      <c r="AE45" s="17"/>
      <c r="AF45" s="17"/>
      <c r="AG45" s="116"/>
      <c r="AH45" s="116"/>
      <c r="AI45" s="134"/>
      <c r="AJ45" s="134"/>
      <c r="AK45" s="134"/>
      <c r="AL45" s="134"/>
      <c r="AM45" s="103" t="s">
        <v>584</v>
      </c>
      <c r="AN45" s="103" t="s">
        <v>584</v>
      </c>
      <c r="AO45" s="90" t="s">
        <v>306</v>
      </c>
      <c r="AP45" s="116" t="s">
        <v>136</v>
      </c>
      <c r="AQ45" s="116" t="s">
        <v>128</v>
      </c>
      <c r="AR45" s="120" t="s">
        <v>75</v>
      </c>
      <c r="AS45" s="110" t="s">
        <v>104</v>
      </c>
      <c r="AT45" s="110" t="s">
        <v>101</v>
      </c>
      <c r="AU45" s="22" t="s">
        <v>77</v>
      </c>
      <c r="AV45" s="21">
        <v>43466</v>
      </c>
      <c r="AW45" s="21">
        <v>44926</v>
      </c>
      <c r="AX45" s="94">
        <v>1</v>
      </c>
      <c r="AY45" s="94">
        <v>1</v>
      </c>
      <c r="AZ45" s="94">
        <v>1</v>
      </c>
      <c r="BA45" s="94">
        <v>1</v>
      </c>
      <c r="BB45" s="94">
        <v>1</v>
      </c>
      <c r="BC45" s="94">
        <v>0.7</v>
      </c>
      <c r="BD45" s="95">
        <v>0.82608695652173914</v>
      </c>
      <c r="BE45" s="94">
        <v>0</v>
      </c>
      <c r="BF45" s="94">
        <v>0.5</v>
      </c>
      <c r="BG45" s="94">
        <v>1</v>
      </c>
      <c r="BH45" s="94">
        <v>1</v>
      </c>
      <c r="BI45" s="94">
        <f>+(34/34)*100%</f>
        <v>1</v>
      </c>
      <c r="BJ45" s="98">
        <f>+(1/1)*100%</f>
        <v>1</v>
      </c>
      <c r="BK45" s="176"/>
      <c r="BL45" s="176"/>
      <c r="BM45" s="177"/>
      <c r="BN45" s="177"/>
      <c r="BO45" s="104" t="s">
        <v>426</v>
      </c>
      <c r="BP45" s="104" t="s">
        <v>559</v>
      </c>
      <c r="BQ45" s="192"/>
      <c r="BR45" s="133"/>
      <c r="BS45" s="203"/>
      <c r="BT45" s="20">
        <v>1500000000</v>
      </c>
      <c r="BU45" s="214"/>
      <c r="BV45" s="215"/>
      <c r="BW45" s="177"/>
      <c r="BX45" s="177"/>
      <c r="BY45" s="315">
        <v>1</v>
      </c>
      <c r="BZ45" s="315">
        <v>1</v>
      </c>
      <c r="CA45" s="192"/>
      <c r="CB45" s="104"/>
      <c r="CC45" s="272"/>
      <c r="CD45" s="21">
        <v>44377</v>
      </c>
      <c r="CE45" s="22" t="str">
        <f t="shared" si="12"/>
        <v>5. Fortale</v>
      </c>
      <c r="CF45" s="22" t="str">
        <f t="shared" si="37"/>
        <v>2. Fortalecer el diálogo intercultural Estado – Comunidades a través del cual se implementen iniciat</v>
      </c>
      <c r="CG45" s="22" t="str">
        <f t="shared" si="38"/>
        <v xml:space="preserve">2.3 Dar cumplimiento al 100% de las órdenes judiciales a cargo de la Dirección de Asuntos Indígenas </v>
      </c>
      <c r="CH45" s="22" t="str">
        <f t="shared" si="39"/>
        <v xml:space="preserve">Gestión </v>
      </c>
      <c r="CI45" s="22" t="str">
        <f t="shared" si="40"/>
        <v>Producto</v>
      </c>
      <c r="CJ45" s="273" t="str">
        <f t="shared" si="17"/>
        <v/>
      </c>
      <c r="CK45" s="273" t="str">
        <f t="shared" si="18"/>
        <v/>
      </c>
      <c r="CL45" s="273">
        <f t="shared" si="35"/>
        <v>0.33333333333333331</v>
      </c>
      <c r="CM45" s="273">
        <f t="shared" si="36"/>
        <v>0.33333333333333331</v>
      </c>
      <c r="CN45" s="23"/>
      <c r="CO45" s="273">
        <f t="shared" si="21"/>
        <v>0.63660384774084255</v>
      </c>
      <c r="CP45" s="273">
        <f t="shared" si="22"/>
        <v>0.7442974658112228</v>
      </c>
      <c r="CQ45" s="273">
        <f t="shared" si="23"/>
        <v>0.81818363636363634</v>
      </c>
      <c r="CR45" s="273">
        <f t="shared" si="24"/>
        <v>0.84835958637002939</v>
      </c>
      <c r="CS45" s="273">
        <f t="shared" si="25"/>
        <v>0.66666666666666663</v>
      </c>
      <c r="CT45" s="273" t="str">
        <f t="shared" si="26"/>
        <v/>
      </c>
      <c r="CU45" s="273">
        <f t="shared" si="30"/>
        <v>1</v>
      </c>
      <c r="CV45" s="25">
        <f t="shared" si="41"/>
        <v>1</v>
      </c>
    </row>
    <row r="46" spans="1:100" s="274" customFormat="1" ht="86.1" hidden="1" customHeight="1" x14ac:dyDescent="0.2">
      <c r="A46" s="172" t="s">
        <v>10</v>
      </c>
      <c r="B46" s="22" t="s">
        <v>618</v>
      </c>
      <c r="C46" s="22" t="s">
        <v>132</v>
      </c>
      <c r="D46" s="22" t="s">
        <v>68</v>
      </c>
      <c r="E46" s="22" t="s">
        <v>68</v>
      </c>
      <c r="F46" s="22" t="s">
        <v>68</v>
      </c>
      <c r="G46" s="22" t="s">
        <v>131</v>
      </c>
      <c r="H46" s="163" t="s">
        <v>253</v>
      </c>
      <c r="I46" s="90" t="s">
        <v>341</v>
      </c>
      <c r="J46" s="104" t="s">
        <v>129</v>
      </c>
      <c r="K46" s="22" t="s">
        <v>310</v>
      </c>
      <c r="L46" s="22" t="s">
        <v>81</v>
      </c>
      <c r="M46" s="22" t="s">
        <v>104</v>
      </c>
      <c r="N46" s="91" t="s">
        <v>101</v>
      </c>
      <c r="O46" s="94">
        <v>1</v>
      </c>
      <c r="P46" s="94">
        <v>1</v>
      </c>
      <c r="Q46" s="94">
        <v>1</v>
      </c>
      <c r="R46" s="94">
        <v>1</v>
      </c>
      <c r="S46" s="94">
        <v>1</v>
      </c>
      <c r="T46" s="22" t="s">
        <v>77</v>
      </c>
      <c r="U46" s="94">
        <v>1</v>
      </c>
      <c r="V46" s="94">
        <v>0</v>
      </c>
      <c r="W46" s="94">
        <v>0</v>
      </c>
      <c r="X46" s="94">
        <v>0.71</v>
      </c>
      <c r="Y46" s="94">
        <v>1</v>
      </c>
      <c r="Z46" s="94">
        <v>1</v>
      </c>
      <c r="AA46" s="94">
        <f>+(4/8)*100%</f>
        <v>0.5</v>
      </c>
      <c r="AB46" s="98"/>
      <c r="AC46" s="176"/>
      <c r="AD46" s="176"/>
      <c r="AE46" s="177"/>
      <c r="AF46" s="177"/>
      <c r="AG46" s="116" t="s">
        <v>459</v>
      </c>
      <c r="AH46" s="116"/>
      <c r="AI46" s="199"/>
      <c r="AJ46" s="199"/>
      <c r="AK46" s="199"/>
      <c r="AL46" s="199"/>
      <c r="AM46" s="103" t="s">
        <v>585</v>
      </c>
      <c r="AN46" s="103">
        <v>0.5</v>
      </c>
      <c r="AO46" s="90" t="s">
        <v>311</v>
      </c>
      <c r="AP46" s="116" t="s">
        <v>129</v>
      </c>
      <c r="AQ46" s="116" t="s">
        <v>155</v>
      </c>
      <c r="AR46" s="110" t="s">
        <v>9</v>
      </c>
      <c r="AS46" s="110" t="s">
        <v>104</v>
      </c>
      <c r="AT46" s="110" t="s">
        <v>101</v>
      </c>
      <c r="AU46" s="22" t="s">
        <v>77</v>
      </c>
      <c r="AV46" s="21">
        <v>43466</v>
      </c>
      <c r="AW46" s="21">
        <v>44926</v>
      </c>
      <c r="AX46" s="94">
        <v>1</v>
      </c>
      <c r="AY46" s="94">
        <v>1</v>
      </c>
      <c r="AZ46" s="94">
        <v>1</v>
      </c>
      <c r="BA46" s="94">
        <v>1</v>
      </c>
      <c r="BB46" s="94">
        <v>1</v>
      </c>
      <c r="BC46" s="94">
        <v>1</v>
      </c>
      <c r="BD46" s="94">
        <v>0</v>
      </c>
      <c r="BE46" s="95">
        <v>0.31</v>
      </c>
      <c r="BF46" s="94">
        <v>0.71</v>
      </c>
      <c r="BG46" s="94">
        <v>1</v>
      </c>
      <c r="BH46" s="94">
        <v>1</v>
      </c>
      <c r="BI46" s="94">
        <f>+(2/2)*100%</f>
        <v>1</v>
      </c>
      <c r="BJ46" s="98">
        <f>+(1/1)*100%</f>
        <v>1</v>
      </c>
      <c r="BK46" s="176"/>
      <c r="BL46" s="26"/>
      <c r="BM46" s="177"/>
      <c r="BN46" s="177"/>
      <c r="BO46" s="147" t="s">
        <v>427</v>
      </c>
      <c r="BP46" s="147" t="s">
        <v>560</v>
      </c>
      <c r="BQ46" s="203"/>
      <c r="BR46" s="135"/>
      <c r="BS46" s="203"/>
      <c r="BT46" s="136">
        <v>2981819000</v>
      </c>
      <c r="BU46" s="220"/>
      <c r="BV46" s="216"/>
      <c r="BW46" s="177"/>
      <c r="BX46" s="177"/>
      <c r="BY46" s="315">
        <v>1</v>
      </c>
      <c r="BZ46" s="315">
        <v>1</v>
      </c>
      <c r="CA46" s="228"/>
      <c r="CB46" s="292"/>
      <c r="CC46" s="276"/>
      <c r="CD46" s="21">
        <v>44377</v>
      </c>
      <c r="CE46" s="22" t="str">
        <f t="shared" si="12"/>
        <v>6. Fortale</v>
      </c>
      <c r="CF46" s="22" t="str">
        <f t="shared" si="37"/>
        <v xml:space="preserve">3. Fortalecer la capacidad Institucional promoviendo el talento humano, la participación ciudadana, </v>
      </c>
      <c r="CG46" s="22" t="str">
        <f t="shared" si="38"/>
        <v>3.1 Fortalecer la capacidad Institucional por medio de la adecuación organizativa de la Dirección, l</v>
      </c>
      <c r="CH46" s="22" t="str">
        <f t="shared" si="39"/>
        <v xml:space="preserve">Gestión </v>
      </c>
      <c r="CI46" s="22" t="str">
        <f t="shared" si="40"/>
        <v>Gestión</v>
      </c>
      <c r="CJ46" s="273">
        <f t="shared" si="17"/>
        <v>0</v>
      </c>
      <c r="CK46" s="273">
        <f t="shared" si="18"/>
        <v>0</v>
      </c>
      <c r="CL46" s="273">
        <f t="shared" si="35"/>
        <v>1</v>
      </c>
      <c r="CM46" s="273">
        <f t="shared" si="36"/>
        <v>1</v>
      </c>
      <c r="CN46" s="23"/>
      <c r="CO46" s="273" t="str">
        <f t="shared" si="21"/>
        <v/>
      </c>
      <c r="CP46" s="273" t="str">
        <f t="shared" si="22"/>
        <v/>
      </c>
      <c r="CQ46" s="273">
        <f t="shared" si="23"/>
        <v>0.49999999999999994</v>
      </c>
      <c r="CR46" s="273">
        <f t="shared" si="24"/>
        <v>0.88276347803816113</v>
      </c>
      <c r="CS46" s="273">
        <f t="shared" si="25"/>
        <v>1</v>
      </c>
      <c r="CT46" s="273">
        <f t="shared" si="26"/>
        <v>0</v>
      </c>
      <c r="CU46" s="273">
        <f t="shared" si="30"/>
        <v>1</v>
      </c>
      <c r="CV46" s="25">
        <f t="shared" si="41"/>
        <v>1</v>
      </c>
    </row>
    <row r="47" spans="1:100" s="274" customFormat="1" ht="273" hidden="1" customHeight="1" x14ac:dyDescent="0.2">
      <c r="A47" s="173" t="s">
        <v>10</v>
      </c>
      <c r="B47" s="22" t="s">
        <v>220</v>
      </c>
      <c r="C47" s="22" t="s">
        <v>132</v>
      </c>
      <c r="D47" s="22" t="s">
        <v>68</v>
      </c>
      <c r="E47" s="22" t="s">
        <v>68</v>
      </c>
      <c r="F47" s="22" t="s">
        <v>68</v>
      </c>
      <c r="G47" s="22" t="s">
        <v>131</v>
      </c>
      <c r="H47" s="90" t="s">
        <v>252</v>
      </c>
      <c r="I47" s="90" t="s">
        <v>312</v>
      </c>
      <c r="J47" s="90" t="s">
        <v>346</v>
      </c>
      <c r="K47" s="90" t="s">
        <v>491</v>
      </c>
      <c r="L47" s="22" t="s">
        <v>76</v>
      </c>
      <c r="M47" s="22" t="s">
        <v>104</v>
      </c>
      <c r="N47" s="91" t="s">
        <v>101</v>
      </c>
      <c r="O47" s="94">
        <v>0</v>
      </c>
      <c r="P47" s="94">
        <v>1</v>
      </c>
      <c r="Q47" s="94">
        <v>0</v>
      </c>
      <c r="R47" s="94">
        <v>0</v>
      </c>
      <c r="S47" s="94">
        <v>1</v>
      </c>
      <c r="T47" s="22" t="s">
        <v>77</v>
      </c>
      <c r="U47" s="94">
        <v>0</v>
      </c>
      <c r="V47" s="94">
        <v>1</v>
      </c>
      <c r="W47" s="94">
        <v>1</v>
      </c>
      <c r="X47" s="94">
        <v>1</v>
      </c>
      <c r="Y47" s="94">
        <v>1</v>
      </c>
      <c r="Z47" s="94">
        <v>1</v>
      </c>
      <c r="AA47" s="94">
        <v>0.2</v>
      </c>
      <c r="AB47" s="98">
        <v>0.25</v>
      </c>
      <c r="AC47" s="176"/>
      <c r="AD47" s="176"/>
      <c r="AE47" s="177"/>
      <c r="AF47" s="177"/>
      <c r="AG47" s="104" t="s">
        <v>492</v>
      </c>
      <c r="AH47" s="104" t="s">
        <v>602</v>
      </c>
      <c r="AI47" s="192"/>
      <c r="AJ47" s="192"/>
      <c r="AK47" s="192"/>
      <c r="AL47" s="194"/>
      <c r="AM47" s="103" t="s">
        <v>586</v>
      </c>
      <c r="AN47" s="103">
        <v>0.45</v>
      </c>
      <c r="AO47" s="109" t="s">
        <v>321</v>
      </c>
      <c r="AP47" s="115" t="s">
        <v>120</v>
      </c>
      <c r="AQ47" s="116" t="s">
        <v>147</v>
      </c>
      <c r="AR47" s="110" t="s">
        <v>9</v>
      </c>
      <c r="AS47" s="110" t="s">
        <v>104</v>
      </c>
      <c r="AT47" s="110" t="s">
        <v>101</v>
      </c>
      <c r="AU47" s="22" t="s">
        <v>77</v>
      </c>
      <c r="AV47" s="21">
        <v>43831</v>
      </c>
      <c r="AW47" s="21">
        <v>44926</v>
      </c>
      <c r="AX47" s="94">
        <v>0</v>
      </c>
      <c r="AY47" s="94">
        <v>1</v>
      </c>
      <c r="AZ47" s="94">
        <v>1</v>
      </c>
      <c r="BA47" s="94">
        <v>1</v>
      </c>
      <c r="BB47" s="94">
        <v>1</v>
      </c>
      <c r="BC47" s="94">
        <v>0</v>
      </c>
      <c r="BD47" s="94">
        <v>1</v>
      </c>
      <c r="BE47" s="94">
        <v>1</v>
      </c>
      <c r="BF47" s="94">
        <v>1</v>
      </c>
      <c r="BG47" s="94">
        <v>1</v>
      </c>
      <c r="BH47" s="94">
        <v>1</v>
      </c>
      <c r="BI47" s="94">
        <v>0.25</v>
      </c>
      <c r="BJ47" s="98">
        <v>1</v>
      </c>
      <c r="BK47" s="176"/>
      <c r="BL47" s="26"/>
      <c r="BM47" s="177"/>
      <c r="BN47" s="177"/>
      <c r="BO47" s="154" t="s">
        <v>493</v>
      </c>
      <c r="BP47" s="154" t="s">
        <v>603</v>
      </c>
      <c r="BQ47" s="212"/>
      <c r="BR47" s="155"/>
      <c r="BS47" s="192"/>
      <c r="BT47" s="140">
        <v>75000000000</v>
      </c>
      <c r="BU47" s="224"/>
      <c r="BV47" s="202"/>
      <c r="BW47" s="177"/>
      <c r="BX47" s="177"/>
      <c r="BY47" s="315">
        <v>1</v>
      </c>
      <c r="BZ47" s="315">
        <v>1</v>
      </c>
      <c r="CA47" s="192"/>
      <c r="CB47" s="104"/>
      <c r="CC47" s="276"/>
      <c r="CD47" s="21">
        <v>44377</v>
      </c>
      <c r="CE47" s="22" t="str">
        <f t="shared" si="12"/>
        <v>5. Fortale</v>
      </c>
      <c r="CF47" s="22" t="str">
        <f t="shared" si="37"/>
        <v>4. Fortalecer el diálogo intercultural Estado – Comunidades a través del cual se implementen iniciat</v>
      </c>
      <c r="CG47" s="22" t="str">
        <f t="shared" si="38"/>
        <v xml:space="preserve">4.1 Implementar el 100% de las iniciativas estratégicas para el cumplimiento de los compromisos del </v>
      </c>
      <c r="CH47" s="22" t="str">
        <f t="shared" si="39"/>
        <v xml:space="preserve">Producto </v>
      </c>
      <c r="CI47" s="22" t="str">
        <f t="shared" si="40"/>
        <v>Gestión</v>
      </c>
      <c r="CJ47" s="273">
        <f t="shared" si="17"/>
        <v>0</v>
      </c>
      <c r="CK47" s="273">
        <f t="shared" si="18"/>
        <v>0</v>
      </c>
      <c r="CL47" s="273">
        <f t="shared" si="35"/>
        <v>0.2</v>
      </c>
      <c r="CM47" s="273">
        <f t="shared" si="36"/>
        <v>0.2</v>
      </c>
      <c r="CN47" s="23"/>
      <c r="CO47" s="273" t="str">
        <f t="shared" si="21"/>
        <v/>
      </c>
      <c r="CP47" s="273" t="str">
        <f t="shared" si="22"/>
        <v/>
      </c>
      <c r="CQ47" s="273">
        <f t="shared" si="23"/>
        <v>0.81818363636363634</v>
      </c>
      <c r="CR47" s="273">
        <f t="shared" si="24"/>
        <v>0.84835958637002939</v>
      </c>
      <c r="CS47" s="273">
        <f t="shared" si="25"/>
        <v>1</v>
      </c>
      <c r="CT47" s="273" t="str">
        <f t="shared" si="26"/>
        <v/>
      </c>
      <c r="CU47" s="273">
        <f t="shared" si="30"/>
        <v>1</v>
      </c>
      <c r="CV47" s="25">
        <f t="shared" si="41"/>
        <v>1</v>
      </c>
    </row>
    <row r="48" spans="1:100" s="274" customFormat="1" ht="353.25" hidden="1" customHeight="1" x14ac:dyDescent="0.2">
      <c r="A48" s="173" t="s">
        <v>10</v>
      </c>
      <c r="B48" s="22" t="s">
        <v>220</v>
      </c>
      <c r="C48" s="22" t="s">
        <v>132</v>
      </c>
      <c r="D48" s="22" t="s">
        <v>68</v>
      </c>
      <c r="E48" s="22" t="s">
        <v>68</v>
      </c>
      <c r="F48" s="22" t="s">
        <v>68</v>
      </c>
      <c r="G48" s="22" t="s">
        <v>131</v>
      </c>
      <c r="H48" s="90" t="s">
        <v>252</v>
      </c>
      <c r="I48" s="90" t="s">
        <v>312</v>
      </c>
      <c r="J48" s="90" t="s">
        <v>346</v>
      </c>
      <c r="K48" s="90" t="s">
        <v>491</v>
      </c>
      <c r="L48" s="22" t="s">
        <v>76</v>
      </c>
      <c r="M48" s="22" t="s">
        <v>104</v>
      </c>
      <c r="N48" s="91" t="s">
        <v>101</v>
      </c>
      <c r="O48" s="94">
        <v>0</v>
      </c>
      <c r="P48" s="94">
        <v>1</v>
      </c>
      <c r="Q48" s="94">
        <v>0</v>
      </c>
      <c r="R48" s="94">
        <v>0</v>
      </c>
      <c r="S48" s="94">
        <v>1</v>
      </c>
      <c r="T48" s="22" t="s">
        <v>77</v>
      </c>
      <c r="U48" s="94"/>
      <c r="V48" s="94"/>
      <c r="W48" s="94"/>
      <c r="X48" s="94"/>
      <c r="Y48" s="94"/>
      <c r="Z48" s="94"/>
      <c r="AA48" s="94"/>
      <c r="AB48" s="98"/>
      <c r="AC48" s="26"/>
      <c r="AD48" s="26"/>
      <c r="AE48" s="17"/>
      <c r="AF48" s="17"/>
      <c r="AG48" s="104"/>
      <c r="AH48" s="104"/>
      <c r="AI48" s="133"/>
      <c r="AJ48" s="133"/>
      <c r="AK48" s="133"/>
      <c r="AL48" s="8"/>
      <c r="AM48" s="103" t="s">
        <v>584</v>
      </c>
      <c r="AN48" s="103" t="s">
        <v>584</v>
      </c>
      <c r="AO48" s="109" t="s">
        <v>322</v>
      </c>
      <c r="AP48" s="115" t="s">
        <v>350</v>
      </c>
      <c r="AQ48" s="116" t="s">
        <v>157</v>
      </c>
      <c r="AR48" s="110" t="s">
        <v>9</v>
      </c>
      <c r="AS48" s="120" t="s">
        <v>104</v>
      </c>
      <c r="AT48" s="110" t="s">
        <v>101</v>
      </c>
      <c r="AU48" s="22" t="s">
        <v>77</v>
      </c>
      <c r="AV48" s="21">
        <v>43831</v>
      </c>
      <c r="AW48" s="21">
        <v>44926</v>
      </c>
      <c r="AX48" s="94">
        <v>0</v>
      </c>
      <c r="AY48" s="94">
        <v>1</v>
      </c>
      <c r="AZ48" s="94">
        <v>1</v>
      </c>
      <c r="BA48" s="94">
        <v>1</v>
      </c>
      <c r="BB48" s="94">
        <v>1</v>
      </c>
      <c r="BC48" s="94">
        <v>0</v>
      </c>
      <c r="BD48" s="94">
        <v>1</v>
      </c>
      <c r="BE48" s="94">
        <v>1</v>
      </c>
      <c r="BF48" s="95">
        <v>1</v>
      </c>
      <c r="BG48" s="95">
        <v>1</v>
      </c>
      <c r="BH48" s="95">
        <v>1</v>
      </c>
      <c r="BI48" s="95">
        <v>0.25</v>
      </c>
      <c r="BJ48" s="141">
        <v>1</v>
      </c>
      <c r="BK48" s="190"/>
      <c r="BL48" s="190"/>
      <c r="BM48" s="191"/>
      <c r="BN48" s="191"/>
      <c r="BO48" s="154" t="s">
        <v>494</v>
      </c>
      <c r="BP48" s="154" t="s">
        <v>604</v>
      </c>
      <c r="BQ48" s="212"/>
      <c r="BR48" s="155"/>
      <c r="BS48" s="192"/>
      <c r="BT48" s="137">
        <v>4549000000</v>
      </c>
      <c r="BU48" s="225"/>
      <c r="BV48" s="202"/>
      <c r="BW48" s="177"/>
      <c r="BX48" s="177"/>
      <c r="BY48" s="315">
        <v>1</v>
      </c>
      <c r="BZ48" s="315">
        <v>1</v>
      </c>
      <c r="CA48" s="192"/>
      <c r="CB48" s="104"/>
      <c r="CC48" s="272"/>
      <c r="CD48" s="21">
        <v>44377</v>
      </c>
      <c r="CE48" s="22" t="str">
        <f t="shared" si="12"/>
        <v>5. Fortale</v>
      </c>
      <c r="CF48" s="22" t="str">
        <f t="shared" si="37"/>
        <v>4. Fortalecer el diálogo intercultural Estado – Comunidades a través del cual se implementen iniciat</v>
      </c>
      <c r="CG48" s="22" t="str">
        <f t="shared" si="38"/>
        <v>4.2 Fortalecer al 100% la articulación interinstitucional para el mejoramiento de la gestión y desar</v>
      </c>
      <c r="CH48" s="22" t="str">
        <f t="shared" si="39"/>
        <v xml:space="preserve">Producto </v>
      </c>
      <c r="CI48" s="22" t="str">
        <f t="shared" si="40"/>
        <v>Gestión</v>
      </c>
      <c r="CJ48" s="273" t="str">
        <f t="shared" si="17"/>
        <v/>
      </c>
      <c r="CK48" s="273" t="str">
        <f t="shared" si="18"/>
        <v/>
      </c>
      <c r="CL48" s="273">
        <f t="shared" si="35"/>
        <v>0.2</v>
      </c>
      <c r="CM48" s="273">
        <f t="shared" si="36"/>
        <v>0.2</v>
      </c>
      <c r="CN48" s="23"/>
      <c r="CO48" s="273">
        <f t="shared" si="21"/>
        <v>0.63660384774084255</v>
      </c>
      <c r="CP48" s="273">
        <f t="shared" si="22"/>
        <v>0.7442974658112228</v>
      </c>
      <c r="CQ48" s="273">
        <f t="shared" si="23"/>
        <v>0.81818363636363634</v>
      </c>
      <c r="CR48" s="273">
        <f t="shared" si="24"/>
        <v>0.84835958637002939</v>
      </c>
      <c r="CS48" s="273">
        <f t="shared" si="25"/>
        <v>1</v>
      </c>
      <c r="CT48" s="273" t="str">
        <f t="shared" si="26"/>
        <v/>
      </c>
      <c r="CU48" s="273">
        <f t="shared" si="30"/>
        <v>1</v>
      </c>
      <c r="CV48" s="25">
        <f t="shared" si="41"/>
        <v>1</v>
      </c>
    </row>
    <row r="49" spans="1:100" s="274" customFormat="1" ht="359.25" hidden="1" customHeight="1" x14ac:dyDescent="0.2">
      <c r="A49" s="173" t="s">
        <v>10</v>
      </c>
      <c r="B49" s="22" t="s">
        <v>220</v>
      </c>
      <c r="C49" s="22" t="s">
        <v>132</v>
      </c>
      <c r="D49" s="22" t="s">
        <v>68</v>
      </c>
      <c r="E49" s="22" t="s">
        <v>68</v>
      </c>
      <c r="F49" s="22" t="s">
        <v>68</v>
      </c>
      <c r="G49" s="22" t="s">
        <v>131</v>
      </c>
      <c r="H49" s="90" t="s">
        <v>252</v>
      </c>
      <c r="I49" s="90" t="s">
        <v>312</v>
      </c>
      <c r="J49" s="90" t="s">
        <v>346</v>
      </c>
      <c r="K49" s="90" t="s">
        <v>491</v>
      </c>
      <c r="L49" s="22" t="s">
        <v>76</v>
      </c>
      <c r="M49" s="22" t="s">
        <v>104</v>
      </c>
      <c r="N49" s="91" t="s">
        <v>101</v>
      </c>
      <c r="O49" s="94">
        <v>0</v>
      </c>
      <c r="P49" s="94">
        <v>1</v>
      </c>
      <c r="Q49" s="94">
        <v>0</v>
      </c>
      <c r="R49" s="94">
        <v>0</v>
      </c>
      <c r="S49" s="94">
        <v>1</v>
      </c>
      <c r="T49" s="22" t="s">
        <v>77</v>
      </c>
      <c r="U49" s="94"/>
      <c r="V49" s="94"/>
      <c r="W49" s="94"/>
      <c r="X49" s="94"/>
      <c r="Y49" s="94"/>
      <c r="Z49" s="94"/>
      <c r="AA49" s="94"/>
      <c r="AB49" s="98"/>
      <c r="AC49" s="26"/>
      <c r="AD49" s="26"/>
      <c r="AE49" s="17"/>
      <c r="AF49" s="17"/>
      <c r="AG49" s="104"/>
      <c r="AH49" s="104"/>
      <c r="AI49" s="133"/>
      <c r="AJ49" s="133"/>
      <c r="AK49" s="133"/>
      <c r="AL49" s="8"/>
      <c r="AM49" s="103" t="s">
        <v>584</v>
      </c>
      <c r="AN49" s="103" t="s">
        <v>584</v>
      </c>
      <c r="AO49" s="109" t="s">
        <v>323</v>
      </c>
      <c r="AP49" s="115" t="s">
        <v>156</v>
      </c>
      <c r="AQ49" s="116" t="s">
        <v>148</v>
      </c>
      <c r="AR49" s="110" t="s">
        <v>9</v>
      </c>
      <c r="AS49" s="120" t="s">
        <v>104</v>
      </c>
      <c r="AT49" s="110" t="s">
        <v>101</v>
      </c>
      <c r="AU49" s="22" t="s">
        <v>77</v>
      </c>
      <c r="AV49" s="21">
        <v>43831</v>
      </c>
      <c r="AW49" s="21">
        <v>44926</v>
      </c>
      <c r="AX49" s="94">
        <v>0</v>
      </c>
      <c r="AY49" s="94">
        <v>1</v>
      </c>
      <c r="AZ49" s="94">
        <v>1</v>
      </c>
      <c r="BA49" s="94">
        <v>1</v>
      </c>
      <c r="BB49" s="94">
        <v>1</v>
      </c>
      <c r="BC49" s="94">
        <v>0</v>
      </c>
      <c r="BD49" s="94">
        <v>1</v>
      </c>
      <c r="BE49" s="94">
        <v>1</v>
      </c>
      <c r="BF49" s="95">
        <v>1</v>
      </c>
      <c r="BG49" s="95">
        <v>1</v>
      </c>
      <c r="BH49" s="95">
        <v>1</v>
      </c>
      <c r="BI49" s="95">
        <v>0.25</v>
      </c>
      <c r="BJ49" s="141">
        <v>1</v>
      </c>
      <c r="BK49" s="190"/>
      <c r="BL49" s="190"/>
      <c r="BM49" s="191"/>
      <c r="BN49" s="191"/>
      <c r="BO49" s="154" t="s">
        <v>605</v>
      </c>
      <c r="BP49" s="154" t="s">
        <v>606</v>
      </c>
      <c r="BQ49" s="212"/>
      <c r="BR49" s="155"/>
      <c r="BS49" s="192"/>
      <c r="BT49" s="148">
        <v>3500000000</v>
      </c>
      <c r="BU49" s="226"/>
      <c r="BV49" s="202"/>
      <c r="BW49" s="177"/>
      <c r="BX49" s="177"/>
      <c r="BY49" s="315">
        <v>1</v>
      </c>
      <c r="BZ49" s="315">
        <v>1</v>
      </c>
      <c r="CA49" s="192"/>
      <c r="CB49" s="104"/>
      <c r="CC49" s="272"/>
      <c r="CD49" s="21">
        <v>44377</v>
      </c>
      <c r="CE49" s="22" t="str">
        <f t="shared" si="12"/>
        <v>5. Fortale</v>
      </c>
      <c r="CF49" s="22" t="str">
        <f t="shared" si="37"/>
        <v>4. Fortalecer el diálogo intercultural Estado – Comunidades a través del cual se implementen iniciat</v>
      </c>
      <c r="CG49" s="22" t="str">
        <f t="shared" si="38"/>
        <v>4.3 Apoyar técnicamente al 100% los consejos comunitarios y/o expresiones organizativas de las comun</v>
      </c>
      <c r="CH49" s="22" t="str">
        <f t="shared" si="39"/>
        <v xml:space="preserve">Producto </v>
      </c>
      <c r="CI49" s="22" t="str">
        <f t="shared" si="40"/>
        <v>Gestión</v>
      </c>
      <c r="CJ49" s="273" t="str">
        <f t="shared" si="17"/>
        <v/>
      </c>
      <c r="CK49" s="273" t="str">
        <f t="shared" si="18"/>
        <v/>
      </c>
      <c r="CL49" s="273">
        <f t="shared" si="35"/>
        <v>0.2</v>
      </c>
      <c r="CM49" s="273">
        <f t="shared" si="36"/>
        <v>0.2</v>
      </c>
      <c r="CN49" s="23"/>
      <c r="CO49" s="273">
        <f t="shared" si="21"/>
        <v>0.63660384774084255</v>
      </c>
      <c r="CP49" s="273">
        <f t="shared" si="22"/>
        <v>0.7442974658112228</v>
      </c>
      <c r="CQ49" s="273">
        <f t="shared" si="23"/>
        <v>0.81818363636363634</v>
      </c>
      <c r="CR49" s="273">
        <f t="shared" si="24"/>
        <v>0.84835958637002939</v>
      </c>
      <c r="CS49" s="273">
        <f t="shared" si="25"/>
        <v>1</v>
      </c>
      <c r="CT49" s="273" t="str">
        <f t="shared" si="26"/>
        <v/>
      </c>
      <c r="CU49" s="273">
        <f t="shared" si="30"/>
        <v>1</v>
      </c>
      <c r="CV49" s="25">
        <f t="shared" si="41"/>
        <v>1</v>
      </c>
    </row>
    <row r="50" spans="1:100" s="274" customFormat="1" ht="247.5" hidden="1" customHeight="1" x14ac:dyDescent="0.2">
      <c r="A50" s="173" t="s">
        <v>10</v>
      </c>
      <c r="B50" s="22" t="s">
        <v>220</v>
      </c>
      <c r="C50" s="22" t="s">
        <v>132</v>
      </c>
      <c r="D50" s="22" t="s">
        <v>68</v>
      </c>
      <c r="E50" s="22" t="s">
        <v>68</v>
      </c>
      <c r="F50" s="22" t="s">
        <v>68</v>
      </c>
      <c r="G50" s="22" t="s">
        <v>131</v>
      </c>
      <c r="H50" s="90" t="s">
        <v>252</v>
      </c>
      <c r="I50" s="90" t="s">
        <v>312</v>
      </c>
      <c r="J50" s="90" t="s">
        <v>346</v>
      </c>
      <c r="K50" s="90" t="s">
        <v>491</v>
      </c>
      <c r="L50" s="22" t="s">
        <v>76</v>
      </c>
      <c r="M50" s="22" t="s">
        <v>104</v>
      </c>
      <c r="N50" s="91" t="s">
        <v>101</v>
      </c>
      <c r="O50" s="94">
        <v>0</v>
      </c>
      <c r="P50" s="94">
        <v>1</v>
      </c>
      <c r="Q50" s="94">
        <v>0</v>
      </c>
      <c r="R50" s="94">
        <v>0</v>
      </c>
      <c r="S50" s="94">
        <v>1</v>
      </c>
      <c r="T50" s="22" t="s">
        <v>77</v>
      </c>
      <c r="U50" s="94"/>
      <c r="V50" s="94"/>
      <c r="W50" s="94"/>
      <c r="X50" s="94"/>
      <c r="Y50" s="94"/>
      <c r="Z50" s="94"/>
      <c r="AA50" s="94"/>
      <c r="AB50" s="98"/>
      <c r="AC50" s="26"/>
      <c r="AD50" s="26"/>
      <c r="AE50" s="17"/>
      <c r="AF50" s="17"/>
      <c r="AG50" s="104"/>
      <c r="AH50" s="104"/>
      <c r="AI50" s="133"/>
      <c r="AJ50" s="133"/>
      <c r="AK50" s="133"/>
      <c r="AL50" s="8"/>
      <c r="AM50" s="103" t="s">
        <v>584</v>
      </c>
      <c r="AN50" s="103" t="s">
        <v>584</v>
      </c>
      <c r="AO50" s="109" t="s">
        <v>324</v>
      </c>
      <c r="AP50" s="115" t="s">
        <v>121</v>
      </c>
      <c r="AQ50" s="116" t="s">
        <v>158</v>
      </c>
      <c r="AR50" s="110" t="s">
        <v>9</v>
      </c>
      <c r="AS50" s="120" t="s">
        <v>104</v>
      </c>
      <c r="AT50" s="110" t="s">
        <v>101</v>
      </c>
      <c r="AU50" s="22" t="s">
        <v>77</v>
      </c>
      <c r="AV50" s="21">
        <v>43831</v>
      </c>
      <c r="AW50" s="21">
        <v>44926</v>
      </c>
      <c r="AX50" s="94">
        <v>0</v>
      </c>
      <c r="AY50" s="94">
        <v>1</v>
      </c>
      <c r="AZ50" s="94">
        <v>1</v>
      </c>
      <c r="BA50" s="94">
        <v>1</v>
      </c>
      <c r="BB50" s="94">
        <v>1</v>
      </c>
      <c r="BC50" s="94">
        <v>0</v>
      </c>
      <c r="BD50" s="94">
        <v>1</v>
      </c>
      <c r="BE50" s="94">
        <v>1</v>
      </c>
      <c r="BF50" s="95">
        <v>1</v>
      </c>
      <c r="BG50" s="95">
        <v>1</v>
      </c>
      <c r="BH50" s="95">
        <v>1</v>
      </c>
      <c r="BI50" s="95">
        <v>0.25</v>
      </c>
      <c r="BJ50" s="141">
        <v>1</v>
      </c>
      <c r="BK50" s="190"/>
      <c r="BL50" s="190"/>
      <c r="BM50" s="191"/>
      <c r="BN50" s="191"/>
      <c r="BO50" s="154" t="s">
        <v>495</v>
      </c>
      <c r="BP50" s="154" t="s">
        <v>607</v>
      </c>
      <c r="BQ50" s="212"/>
      <c r="BR50" s="155"/>
      <c r="BS50" s="192"/>
      <c r="BT50" s="148">
        <v>5179700000</v>
      </c>
      <c r="BU50" s="227"/>
      <c r="BV50" s="202"/>
      <c r="BW50" s="177"/>
      <c r="BX50" s="177"/>
      <c r="BY50" s="315">
        <v>1</v>
      </c>
      <c r="BZ50" s="315">
        <v>1</v>
      </c>
      <c r="CA50" s="192"/>
      <c r="CB50" s="104"/>
      <c r="CC50" s="276"/>
      <c r="CD50" s="21">
        <v>44377</v>
      </c>
      <c r="CE50" s="22" t="str">
        <f t="shared" si="12"/>
        <v>5. Fortale</v>
      </c>
      <c r="CF50" s="22" t="str">
        <f t="shared" si="37"/>
        <v>4. Fortalecer el diálogo intercultural Estado – Comunidades a través del cual se implementen iniciat</v>
      </c>
      <c r="CG50" s="22" t="str">
        <f t="shared" si="38"/>
        <v>4.4 Fortalecer el 100% de los espacios de participación y dialogo de instancias representativas de l</v>
      </c>
      <c r="CH50" s="22" t="str">
        <f t="shared" si="39"/>
        <v xml:space="preserve">Producto </v>
      </c>
      <c r="CI50" s="22" t="str">
        <f t="shared" si="40"/>
        <v>Gestión</v>
      </c>
      <c r="CJ50" s="273" t="str">
        <f t="shared" si="17"/>
        <v/>
      </c>
      <c r="CK50" s="273" t="str">
        <f t="shared" si="18"/>
        <v/>
      </c>
      <c r="CL50" s="273">
        <f t="shared" si="35"/>
        <v>0.2</v>
      </c>
      <c r="CM50" s="273">
        <f t="shared" si="36"/>
        <v>0.2</v>
      </c>
      <c r="CN50" s="23"/>
      <c r="CO50" s="273">
        <f t="shared" si="21"/>
        <v>0.63660384774084255</v>
      </c>
      <c r="CP50" s="273">
        <f t="shared" si="22"/>
        <v>0.7442974658112228</v>
      </c>
      <c r="CQ50" s="273">
        <f t="shared" si="23"/>
        <v>0.81818363636363634</v>
      </c>
      <c r="CR50" s="273">
        <f t="shared" si="24"/>
        <v>0.84835958637002939</v>
      </c>
      <c r="CS50" s="273">
        <f t="shared" si="25"/>
        <v>1</v>
      </c>
      <c r="CT50" s="273" t="str">
        <f t="shared" si="26"/>
        <v/>
      </c>
      <c r="CU50" s="273">
        <f t="shared" si="30"/>
        <v>1</v>
      </c>
      <c r="CV50" s="25">
        <f t="shared" si="41"/>
        <v>1</v>
      </c>
    </row>
    <row r="51" spans="1:100" s="274" customFormat="1" ht="267" hidden="1" customHeight="1" x14ac:dyDescent="0.2">
      <c r="A51" s="173" t="s">
        <v>10</v>
      </c>
      <c r="B51" s="22" t="s">
        <v>220</v>
      </c>
      <c r="C51" s="22" t="s">
        <v>132</v>
      </c>
      <c r="D51" s="22" t="s">
        <v>68</v>
      </c>
      <c r="E51" s="22" t="s">
        <v>68</v>
      </c>
      <c r="F51" s="22" t="s">
        <v>68</v>
      </c>
      <c r="G51" s="22" t="s">
        <v>131</v>
      </c>
      <c r="H51" s="90" t="s">
        <v>252</v>
      </c>
      <c r="I51" s="90" t="s">
        <v>312</v>
      </c>
      <c r="J51" s="90" t="s">
        <v>346</v>
      </c>
      <c r="K51" s="90" t="s">
        <v>491</v>
      </c>
      <c r="L51" s="22" t="s">
        <v>76</v>
      </c>
      <c r="M51" s="22" t="s">
        <v>104</v>
      </c>
      <c r="N51" s="91" t="s">
        <v>101</v>
      </c>
      <c r="O51" s="94">
        <v>0</v>
      </c>
      <c r="P51" s="94">
        <v>1</v>
      </c>
      <c r="Q51" s="94">
        <v>0</v>
      </c>
      <c r="R51" s="94">
        <v>0</v>
      </c>
      <c r="S51" s="94">
        <v>1</v>
      </c>
      <c r="T51" s="22" t="s">
        <v>77</v>
      </c>
      <c r="U51" s="94"/>
      <c r="V51" s="94"/>
      <c r="W51" s="94"/>
      <c r="X51" s="94"/>
      <c r="Y51" s="94"/>
      <c r="Z51" s="94"/>
      <c r="AA51" s="94"/>
      <c r="AB51" s="98"/>
      <c r="AC51" s="26"/>
      <c r="AD51" s="26"/>
      <c r="AE51" s="17"/>
      <c r="AF51" s="17"/>
      <c r="AG51" s="104"/>
      <c r="AH51" s="104"/>
      <c r="AI51" s="133"/>
      <c r="AJ51" s="133"/>
      <c r="AK51" s="133"/>
      <c r="AL51" s="8"/>
      <c r="AM51" s="103" t="s">
        <v>584</v>
      </c>
      <c r="AN51" s="103" t="s">
        <v>584</v>
      </c>
      <c r="AO51" s="109" t="s">
        <v>325</v>
      </c>
      <c r="AP51" s="115" t="s">
        <v>159</v>
      </c>
      <c r="AQ51" s="116" t="s">
        <v>149</v>
      </c>
      <c r="AR51" s="110" t="s">
        <v>9</v>
      </c>
      <c r="AS51" s="120" t="s">
        <v>104</v>
      </c>
      <c r="AT51" s="110" t="s">
        <v>101</v>
      </c>
      <c r="AU51" s="22" t="s">
        <v>162</v>
      </c>
      <c r="AV51" s="21">
        <v>43466</v>
      </c>
      <c r="AW51" s="21">
        <v>44926</v>
      </c>
      <c r="AX51" s="95">
        <v>1</v>
      </c>
      <c r="AY51" s="95">
        <v>1</v>
      </c>
      <c r="AZ51" s="95">
        <v>1</v>
      </c>
      <c r="BA51" s="95">
        <v>1</v>
      </c>
      <c r="BB51" s="95">
        <v>1</v>
      </c>
      <c r="BC51" s="94">
        <v>0</v>
      </c>
      <c r="BD51" s="94">
        <v>1</v>
      </c>
      <c r="BE51" s="94">
        <v>1</v>
      </c>
      <c r="BF51" s="95">
        <v>1</v>
      </c>
      <c r="BG51" s="95">
        <v>1</v>
      </c>
      <c r="BH51" s="95">
        <v>1</v>
      </c>
      <c r="BI51" s="95">
        <v>0.25</v>
      </c>
      <c r="BJ51" s="141">
        <v>1</v>
      </c>
      <c r="BK51" s="190"/>
      <c r="BL51" s="190"/>
      <c r="BM51" s="191"/>
      <c r="BN51" s="191"/>
      <c r="BO51" s="154" t="s">
        <v>496</v>
      </c>
      <c r="BP51" s="154" t="s">
        <v>608</v>
      </c>
      <c r="BQ51" s="212"/>
      <c r="BR51" s="155"/>
      <c r="BS51" s="192"/>
      <c r="BT51" s="165">
        <v>7883000000</v>
      </c>
      <c r="BU51" s="217"/>
      <c r="BV51" s="217"/>
      <c r="BW51" s="177"/>
      <c r="BX51" s="177"/>
      <c r="BY51" s="315">
        <v>1</v>
      </c>
      <c r="BZ51" s="315">
        <v>1</v>
      </c>
      <c r="CA51" s="229"/>
      <c r="CB51" s="296"/>
      <c r="CC51" s="276"/>
      <c r="CD51" s="21">
        <v>44377</v>
      </c>
      <c r="CE51" s="22" t="str">
        <f t="shared" si="12"/>
        <v>5. Fortale</v>
      </c>
      <c r="CF51" s="22" t="str">
        <f t="shared" si="37"/>
        <v>4. Fortalecer el diálogo intercultural Estado – Comunidades a través del cual se implementen iniciat</v>
      </c>
      <c r="CG51" s="22" t="str">
        <f t="shared" si="38"/>
        <v>4.5 Realizar el 100% de las acciones para el cumplimiento de las ordenes emanadas de las sentencias,</v>
      </c>
      <c r="CH51" s="22" t="str">
        <f t="shared" si="39"/>
        <v xml:space="preserve">Producto </v>
      </c>
      <c r="CI51" s="22" t="str">
        <f t="shared" si="40"/>
        <v>Gestión</v>
      </c>
      <c r="CJ51" s="273" t="str">
        <f t="shared" si="17"/>
        <v/>
      </c>
      <c r="CK51" s="273" t="str">
        <f t="shared" si="18"/>
        <v/>
      </c>
      <c r="CL51" s="273">
        <f t="shared" si="35"/>
        <v>0.2</v>
      </c>
      <c r="CM51" s="273">
        <f t="shared" si="36"/>
        <v>0.2</v>
      </c>
      <c r="CN51" s="23"/>
      <c r="CO51" s="273">
        <f t="shared" si="21"/>
        <v>0.63660384774084255</v>
      </c>
      <c r="CP51" s="273">
        <f t="shared" si="22"/>
        <v>0.7442974658112228</v>
      </c>
      <c r="CQ51" s="273">
        <f t="shared" si="23"/>
        <v>0.81818363636363634</v>
      </c>
      <c r="CR51" s="273">
        <f t="shared" si="24"/>
        <v>0.84835958637002939</v>
      </c>
      <c r="CS51" s="273">
        <f t="shared" si="25"/>
        <v>1</v>
      </c>
      <c r="CT51" s="273" t="str">
        <f t="shared" si="26"/>
        <v/>
      </c>
      <c r="CU51" s="273">
        <f t="shared" si="30"/>
        <v>1</v>
      </c>
      <c r="CV51" s="25">
        <f t="shared" si="41"/>
        <v>1</v>
      </c>
    </row>
    <row r="52" spans="1:100" s="274" customFormat="1" ht="165.75" hidden="1" customHeight="1" x14ac:dyDescent="0.2">
      <c r="A52" s="109" t="s">
        <v>10</v>
      </c>
      <c r="B52" s="22" t="s">
        <v>619</v>
      </c>
      <c r="C52" s="22" t="s">
        <v>102</v>
      </c>
      <c r="D52" s="22" t="s">
        <v>68</v>
      </c>
      <c r="E52" s="22" t="s">
        <v>109</v>
      </c>
      <c r="F52" s="22" t="s">
        <v>68</v>
      </c>
      <c r="G52" s="22" t="s">
        <v>131</v>
      </c>
      <c r="H52" s="90" t="s">
        <v>249</v>
      </c>
      <c r="I52" s="90" t="s">
        <v>313</v>
      </c>
      <c r="J52" s="90" t="s">
        <v>142</v>
      </c>
      <c r="K52" s="90" t="s">
        <v>207</v>
      </c>
      <c r="L52" s="22" t="s">
        <v>76</v>
      </c>
      <c r="M52" s="22" t="s">
        <v>71</v>
      </c>
      <c r="N52" s="91" t="s">
        <v>101</v>
      </c>
      <c r="O52" s="94">
        <v>0</v>
      </c>
      <c r="P52" s="94">
        <v>0.2</v>
      </c>
      <c r="Q52" s="94">
        <v>0.3</v>
      </c>
      <c r="R52" s="94">
        <v>0.5</v>
      </c>
      <c r="S52" s="94">
        <v>1</v>
      </c>
      <c r="T52" s="22" t="s">
        <v>77</v>
      </c>
      <c r="U52" s="94">
        <v>0</v>
      </c>
      <c r="V52" s="94">
        <v>0.25</v>
      </c>
      <c r="W52" s="94">
        <v>0.1</v>
      </c>
      <c r="X52" s="105">
        <v>0.33</v>
      </c>
      <c r="Y52" s="105">
        <v>0.2</v>
      </c>
      <c r="Z52" s="105">
        <v>0.2</v>
      </c>
      <c r="AA52" s="94">
        <f>(Q52/4)*(2/2)</f>
        <v>7.4999999999999997E-2</v>
      </c>
      <c r="AB52" s="94">
        <f>(Q52/4)*(3/3)</f>
        <v>7.4999999999999997E-2</v>
      </c>
      <c r="AC52" s="176"/>
      <c r="AD52" s="176"/>
      <c r="AE52" s="177"/>
      <c r="AF52" s="177"/>
      <c r="AG52" s="104" t="s">
        <v>419</v>
      </c>
      <c r="AH52" s="154" t="s">
        <v>565</v>
      </c>
      <c r="AI52" s="192"/>
      <c r="AJ52" s="192"/>
      <c r="AK52" s="192"/>
      <c r="AL52" s="192"/>
      <c r="AM52" s="103">
        <v>0.5</v>
      </c>
      <c r="AN52" s="103">
        <v>0.35000000000000003</v>
      </c>
      <c r="AO52" s="109" t="s">
        <v>447</v>
      </c>
      <c r="AP52" s="115" t="s">
        <v>160</v>
      </c>
      <c r="AQ52" s="116" t="s">
        <v>165</v>
      </c>
      <c r="AR52" s="110" t="s">
        <v>9</v>
      </c>
      <c r="AS52" s="120" t="s">
        <v>104</v>
      </c>
      <c r="AT52" s="110" t="s">
        <v>101</v>
      </c>
      <c r="AU52" s="22" t="s">
        <v>77</v>
      </c>
      <c r="AV52" s="21">
        <v>44197</v>
      </c>
      <c r="AW52" s="21">
        <v>44926</v>
      </c>
      <c r="AX52" s="92">
        <v>0</v>
      </c>
      <c r="AY52" s="92">
        <v>0</v>
      </c>
      <c r="AZ52" s="98">
        <v>1</v>
      </c>
      <c r="BA52" s="98">
        <v>1</v>
      </c>
      <c r="BB52" s="98">
        <v>1</v>
      </c>
      <c r="BC52" s="92">
        <v>0</v>
      </c>
      <c r="BD52" s="92">
        <v>0</v>
      </c>
      <c r="BE52" s="92">
        <v>0</v>
      </c>
      <c r="BF52" s="92">
        <v>0</v>
      </c>
      <c r="BG52" s="92">
        <v>0</v>
      </c>
      <c r="BH52" s="92">
        <v>0</v>
      </c>
      <c r="BI52" s="98">
        <f>2/2</f>
        <v>1</v>
      </c>
      <c r="BJ52" s="98">
        <f>3/3</f>
        <v>1</v>
      </c>
      <c r="BK52" s="177"/>
      <c r="BL52" s="177"/>
      <c r="BM52" s="177"/>
      <c r="BN52" s="177"/>
      <c r="BO52" s="154" t="s">
        <v>419</v>
      </c>
      <c r="BP52" s="154" t="s">
        <v>565</v>
      </c>
      <c r="BQ52" s="212"/>
      <c r="BR52" s="155"/>
      <c r="BS52" s="192"/>
      <c r="BT52" s="139"/>
      <c r="BU52" s="218"/>
      <c r="BV52" s="218"/>
      <c r="BW52" s="177"/>
      <c r="BX52" s="177"/>
      <c r="BY52" s="315">
        <v>1</v>
      </c>
      <c r="BZ52" s="315">
        <v>1</v>
      </c>
      <c r="CA52" s="192"/>
      <c r="CB52" s="104"/>
      <c r="CC52" s="276"/>
      <c r="CD52" s="21">
        <v>44377</v>
      </c>
      <c r="CE52" s="22" t="str">
        <f t="shared" si="12"/>
        <v>2. Propici</v>
      </c>
      <c r="CF52" s="22" t="str">
        <f t="shared" si="37"/>
        <v>5. Implementar al 100% la Política pública nacional para el diálogo social e intercultural y la reso</v>
      </c>
      <c r="CG52" s="22" t="str">
        <f t="shared" si="38"/>
        <v>Liderar la implementación del 100% de la política pública de gestión de conflictividades a través de</v>
      </c>
      <c r="CH52" s="22" t="str">
        <f t="shared" si="39"/>
        <v xml:space="preserve">Producto </v>
      </c>
      <c r="CI52" s="22" t="str">
        <f t="shared" si="40"/>
        <v>Gestión</v>
      </c>
      <c r="CJ52" s="273">
        <f t="shared" si="17"/>
        <v>1.5151515151515152E-2</v>
      </c>
      <c r="CK52" s="273">
        <f t="shared" si="18"/>
        <v>3.8461538461538464E-2</v>
      </c>
      <c r="CL52" s="273">
        <f t="shared" si="35"/>
        <v>0.25</v>
      </c>
      <c r="CM52" s="273">
        <f t="shared" si="36"/>
        <v>0.25</v>
      </c>
      <c r="CN52" s="23"/>
      <c r="CO52" s="273">
        <f t="shared" si="21"/>
        <v>0.63660384774084255</v>
      </c>
      <c r="CP52" s="273">
        <f t="shared" si="22"/>
        <v>0.7442974658112228</v>
      </c>
      <c r="CQ52" s="273">
        <f t="shared" si="23"/>
        <v>0.625</v>
      </c>
      <c r="CR52" s="273">
        <f t="shared" si="24"/>
        <v>0.56599999999999995</v>
      </c>
      <c r="CS52" s="273">
        <f t="shared" si="25"/>
        <v>0.4375</v>
      </c>
      <c r="CT52" s="273">
        <f t="shared" si="26"/>
        <v>0.5</v>
      </c>
      <c r="CU52" s="273">
        <f t="shared" si="30"/>
        <v>1</v>
      </c>
      <c r="CV52" s="25">
        <f t="shared" si="41"/>
        <v>1</v>
      </c>
    </row>
    <row r="53" spans="1:100" s="274" customFormat="1" ht="86.1" hidden="1" customHeight="1" x14ac:dyDescent="0.2">
      <c r="A53" s="175" t="s">
        <v>10</v>
      </c>
      <c r="B53" s="22" t="s">
        <v>619</v>
      </c>
      <c r="C53" s="22" t="s">
        <v>102</v>
      </c>
      <c r="D53" s="22" t="s">
        <v>68</v>
      </c>
      <c r="E53" s="22" t="s">
        <v>109</v>
      </c>
      <c r="F53" s="22" t="s">
        <v>68</v>
      </c>
      <c r="G53" s="22" t="s">
        <v>131</v>
      </c>
      <c r="H53" s="90" t="s">
        <v>249</v>
      </c>
      <c r="I53" s="90" t="s">
        <v>313</v>
      </c>
      <c r="J53" s="90" t="s">
        <v>142</v>
      </c>
      <c r="K53" s="90" t="s">
        <v>207</v>
      </c>
      <c r="L53" s="22" t="s">
        <v>76</v>
      </c>
      <c r="M53" s="93" t="s">
        <v>71</v>
      </c>
      <c r="N53" s="91" t="s">
        <v>101</v>
      </c>
      <c r="O53" s="94">
        <v>0</v>
      </c>
      <c r="P53" s="94">
        <v>0.2</v>
      </c>
      <c r="Q53" s="94">
        <v>0.3</v>
      </c>
      <c r="R53" s="94">
        <v>0.5</v>
      </c>
      <c r="S53" s="94">
        <v>1</v>
      </c>
      <c r="T53" s="22" t="s">
        <v>77</v>
      </c>
      <c r="U53" s="94"/>
      <c r="V53" s="94"/>
      <c r="W53" s="94"/>
      <c r="X53" s="94"/>
      <c r="Y53" s="94"/>
      <c r="Z53" s="94"/>
      <c r="AA53" s="94"/>
      <c r="AB53" s="98"/>
      <c r="AC53" s="26"/>
      <c r="AD53" s="26"/>
      <c r="AE53" s="17"/>
      <c r="AF53" s="17"/>
      <c r="AG53" s="104"/>
      <c r="AH53" s="104"/>
      <c r="AI53" s="133"/>
      <c r="AJ53" s="133"/>
      <c r="AK53" s="133"/>
      <c r="AL53" s="133"/>
      <c r="AM53" s="103" t="s">
        <v>584</v>
      </c>
      <c r="AN53" s="103" t="s">
        <v>584</v>
      </c>
      <c r="AO53" s="109" t="s">
        <v>448</v>
      </c>
      <c r="AP53" s="109" t="s">
        <v>351</v>
      </c>
      <c r="AQ53" s="116" t="s">
        <v>497</v>
      </c>
      <c r="AR53" s="22" t="s">
        <v>8</v>
      </c>
      <c r="AS53" s="93" t="s">
        <v>71</v>
      </c>
      <c r="AT53" s="110" t="s">
        <v>101</v>
      </c>
      <c r="AU53" s="22" t="s">
        <v>77</v>
      </c>
      <c r="AV53" s="21">
        <v>43831</v>
      </c>
      <c r="AW53" s="21">
        <v>44926</v>
      </c>
      <c r="AX53" s="94">
        <v>0</v>
      </c>
      <c r="AY53" s="94">
        <v>0.1</v>
      </c>
      <c r="AZ53" s="94">
        <v>0.4</v>
      </c>
      <c r="BA53" s="94">
        <v>0.5</v>
      </c>
      <c r="BB53" s="94">
        <v>1</v>
      </c>
      <c r="BC53" s="94">
        <v>0</v>
      </c>
      <c r="BD53" s="94">
        <v>0</v>
      </c>
      <c r="BE53" s="94">
        <v>0</v>
      </c>
      <c r="BF53" s="94">
        <v>0.05</v>
      </c>
      <c r="BG53" s="94">
        <v>0.05</v>
      </c>
      <c r="BH53" s="94">
        <v>0.1</v>
      </c>
      <c r="BI53" s="94">
        <v>0.1</v>
      </c>
      <c r="BJ53" s="98">
        <v>0.2</v>
      </c>
      <c r="BK53" s="176"/>
      <c r="BL53" s="176"/>
      <c r="BM53" s="177"/>
      <c r="BN53" s="177"/>
      <c r="BO53" s="154" t="s">
        <v>420</v>
      </c>
      <c r="BP53" s="154" t="s">
        <v>609</v>
      </c>
      <c r="BQ53" s="212"/>
      <c r="BR53" s="155"/>
      <c r="BS53" s="192"/>
      <c r="BT53" s="20"/>
      <c r="BU53" s="214"/>
      <c r="BV53" s="214"/>
      <c r="BW53" s="177"/>
      <c r="BX53" s="177"/>
      <c r="BY53" s="315">
        <v>0.75000000000000011</v>
      </c>
      <c r="BZ53" s="315">
        <v>0.4</v>
      </c>
      <c r="CA53" s="192"/>
      <c r="CB53" s="104"/>
      <c r="CC53" s="276"/>
      <c r="CD53" s="21">
        <v>44377</v>
      </c>
      <c r="CE53" s="22" t="str">
        <f t="shared" si="12"/>
        <v>2. Propici</v>
      </c>
      <c r="CF53" s="22" t="str">
        <f t="shared" si="37"/>
        <v>5. Implementar al 100% la Política pública nacional para el diálogo social e intercultural y la reso</v>
      </c>
      <c r="CG53" s="22" t="str">
        <f t="shared" si="38"/>
        <v>Definición del protocolo de diálogo social e intercultural</v>
      </c>
      <c r="CH53" s="22" t="str">
        <f t="shared" si="39"/>
        <v xml:space="preserve">Producto </v>
      </c>
      <c r="CI53" s="22" t="str">
        <f t="shared" si="40"/>
        <v>Producto</v>
      </c>
      <c r="CJ53" s="273" t="str">
        <f t="shared" si="17"/>
        <v/>
      </c>
      <c r="CK53" s="273" t="str">
        <f t="shared" si="18"/>
        <v/>
      </c>
      <c r="CL53" s="273">
        <f t="shared" si="35"/>
        <v>0.18750000000000003</v>
      </c>
      <c r="CM53" s="273">
        <f t="shared" si="36"/>
        <v>0.1</v>
      </c>
      <c r="CN53" s="23"/>
      <c r="CO53" s="273">
        <f t="shared" si="21"/>
        <v>0.63660384774084255</v>
      </c>
      <c r="CP53" s="273">
        <f t="shared" si="22"/>
        <v>0.7442974658112228</v>
      </c>
      <c r="CQ53" s="273">
        <f t="shared" si="23"/>
        <v>0.625</v>
      </c>
      <c r="CR53" s="273">
        <f t="shared" si="24"/>
        <v>0.56599999999999995</v>
      </c>
      <c r="CS53" s="273">
        <f t="shared" si="25"/>
        <v>0.4375</v>
      </c>
      <c r="CT53" s="273" t="str">
        <f t="shared" si="26"/>
        <v/>
      </c>
      <c r="CU53" s="273">
        <f t="shared" si="30"/>
        <v>0.75000000000000011</v>
      </c>
      <c r="CV53" s="25">
        <f t="shared" si="41"/>
        <v>0.4</v>
      </c>
    </row>
    <row r="54" spans="1:100" s="274" customFormat="1" ht="86.1" hidden="1" customHeight="1" x14ac:dyDescent="0.2">
      <c r="A54" s="175" t="s">
        <v>10</v>
      </c>
      <c r="B54" s="22" t="s">
        <v>619</v>
      </c>
      <c r="C54" s="22" t="s">
        <v>102</v>
      </c>
      <c r="D54" s="22" t="s">
        <v>68</v>
      </c>
      <c r="E54" s="22" t="s">
        <v>109</v>
      </c>
      <c r="F54" s="22" t="s">
        <v>68</v>
      </c>
      <c r="G54" s="22" t="s">
        <v>131</v>
      </c>
      <c r="H54" s="90" t="s">
        <v>249</v>
      </c>
      <c r="I54" s="90" t="s">
        <v>313</v>
      </c>
      <c r="J54" s="90" t="s">
        <v>142</v>
      </c>
      <c r="K54" s="90" t="s">
        <v>207</v>
      </c>
      <c r="L54" s="22" t="s">
        <v>76</v>
      </c>
      <c r="M54" s="93" t="s">
        <v>71</v>
      </c>
      <c r="N54" s="91" t="s">
        <v>101</v>
      </c>
      <c r="O54" s="94">
        <v>0</v>
      </c>
      <c r="P54" s="94">
        <v>0.2</v>
      </c>
      <c r="Q54" s="94">
        <v>0.3</v>
      </c>
      <c r="R54" s="94">
        <v>0.5</v>
      </c>
      <c r="S54" s="94">
        <v>1</v>
      </c>
      <c r="T54" s="22" t="s">
        <v>77</v>
      </c>
      <c r="U54" s="94"/>
      <c r="V54" s="94"/>
      <c r="W54" s="94"/>
      <c r="X54" s="94"/>
      <c r="Y54" s="94"/>
      <c r="Z54" s="94"/>
      <c r="AA54" s="92"/>
      <c r="AB54" s="98"/>
      <c r="AC54" s="19"/>
      <c r="AD54" s="19"/>
      <c r="AE54" s="17"/>
      <c r="AF54" s="17"/>
      <c r="AG54" s="104"/>
      <c r="AH54" s="104"/>
      <c r="AI54" s="133"/>
      <c r="AJ54" s="133"/>
      <c r="AK54" s="133"/>
      <c r="AL54" s="8"/>
      <c r="AM54" s="103" t="s">
        <v>584</v>
      </c>
      <c r="AN54" s="103" t="s">
        <v>584</v>
      </c>
      <c r="AO54" s="109" t="s">
        <v>449</v>
      </c>
      <c r="AP54" s="109" t="s">
        <v>498</v>
      </c>
      <c r="AQ54" s="116" t="s">
        <v>499</v>
      </c>
      <c r="AR54" s="22" t="s">
        <v>8</v>
      </c>
      <c r="AS54" s="93" t="s">
        <v>71</v>
      </c>
      <c r="AT54" s="110" t="s">
        <v>101</v>
      </c>
      <c r="AU54" s="22" t="s">
        <v>77</v>
      </c>
      <c r="AV54" s="21">
        <v>44197</v>
      </c>
      <c r="AW54" s="21">
        <v>44926</v>
      </c>
      <c r="AX54" s="92">
        <v>0</v>
      </c>
      <c r="AY54" s="92">
        <v>0</v>
      </c>
      <c r="AZ54" s="99">
        <v>0.5</v>
      </c>
      <c r="BA54" s="99">
        <v>0.5</v>
      </c>
      <c r="BB54" s="99">
        <v>1</v>
      </c>
      <c r="BC54" s="92">
        <v>0</v>
      </c>
      <c r="BD54" s="92">
        <v>0</v>
      </c>
      <c r="BE54" s="92">
        <v>0</v>
      </c>
      <c r="BF54" s="92">
        <v>0</v>
      </c>
      <c r="BG54" s="92">
        <v>0</v>
      </c>
      <c r="BH54" s="92">
        <v>0</v>
      </c>
      <c r="BI54" s="92">
        <v>0</v>
      </c>
      <c r="BJ54" s="98"/>
      <c r="BK54" s="208"/>
      <c r="BL54" s="208"/>
      <c r="BM54" s="237"/>
      <c r="BN54" s="237"/>
      <c r="BO54" s="154" t="s">
        <v>421</v>
      </c>
      <c r="BP54" s="154" t="s">
        <v>421</v>
      </c>
      <c r="BQ54" s="212"/>
      <c r="BR54" s="155"/>
      <c r="BS54" s="192"/>
      <c r="BT54" s="20"/>
      <c r="BU54" s="214"/>
      <c r="BV54" s="214"/>
      <c r="BW54" s="177"/>
      <c r="BX54" s="177"/>
      <c r="BY54" s="315">
        <v>0</v>
      </c>
      <c r="BZ54" s="315">
        <v>0</v>
      </c>
      <c r="CA54" s="192"/>
      <c r="CB54" s="104"/>
      <c r="CC54" s="276"/>
      <c r="CD54" s="21">
        <v>44377</v>
      </c>
      <c r="CE54" s="22" t="str">
        <f t="shared" si="12"/>
        <v>2. Propici</v>
      </c>
      <c r="CF54" s="22" t="str">
        <f t="shared" si="37"/>
        <v>5. Implementar al 100% la Política pública nacional para el diálogo social e intercultural y la reso</v>
      </c>
      <c r="CG54" s="22" t="str">
        <f t="shared" si="38"/>
        <v>Formulación de estrategia para el seguimiento y cumplimiento de compromisos, en el marco del diálogo</v>
      </c>
      <c r="CH54" s="22" t="str">
        <f t="shared" si="39"/>
        <v xml:space="preserve">Producto </v>
      </c>
      <c r="CI54" s="22" t="str">
        <f t="shared" si="40"/>
        <v>Producto</v>
      </c>
      <c r="CJ54" s="273" t="str">
        <f t="shared" si="17"/>
        <v/>
      </c>
      <c r="CK54" s="273" t="str">
        <f t="shared" si="18"/>
        <v/>
      </c>
      <c r="CL54" s="273">
        <f t="shared" si="35"/>
        <v>0</v>
      </c>
      <c r="CM54" s="273">
        <f t="shared" si="36"/>
        <v>0</v>
      </c>
      <c r="CN54" s="23"/>
      <c r="CO54" s="273">
        <f t="shared" si="21"/>
        <v>0.63660384774084255</v>
      </c>
      <c r="CP54" s="273">
        <f t="shared" si="22"/>
        <v>0.7442974658112228</v>
      </c>
      <c r="CQ54" s="273">
        <f t="shared" si="23"/>
        <v>0.625</v>
      </c>
      <c r="CR54" s="273">
        <f t="shared" si="24"/>
        <v>0.56599999999999995</v>
      </c>
      <c r="CS54" s="273">
        <f t="shared" si="25"/>
        <v>0.4375</v>
      </c>
      <c r="CT54" s="273" t="str">
        <f t="shared" si="26"/>
        <v/>
      </c>
      <c r="CU54" s="273">
        <f t="shared" si="30"/>
        <v>0</v>
      </c>
      <c r="CV54" s="25">
        <f t="shared" si="41"/>
        <v>0</v>
      </c>
    </row>
    <row r="55" spans="1:100" s="274" customFormat="1" ht="86.1" hidden="1" customHeight="1" x14ac:dyDescent="0.2">
      <c r="A55" s="175" t="s">
        <v>10</v>
      </c>
      <c r="B55" s="22" t="s">
        <v>619</v>
      </c>
      <c r="C55" s="22" t="s">
        <v>102</v>
      </c>
      <c r="D55" s="22" t="s">
        <v>68</v>
      </c>
      <c r="E55" s="22" t="s">
        <v>109</v>
      </c>
      <c r="F55" s="22" t="s">
        <v>68</v>
      </c>
      <c r="G55" s="22" t="s">
        <v>131</v>
      </c>
      <c r="H55" s="90" t="s">
        <v>249</v>
      </c>
      <c r="I55" s="90" t="s">
        <v>313</v>
      </c>
      <c r="J55" s="90" t="s">
        <v>142</v>
      </c>
      <c r="K55" s="90" t="s">
        <v>207</v>
      </c>
      <c r="L55" s="22" t="s">
        <v>76</v>
      </c>
      <c r="M55" s="22" t="s">
        <v>71</v>
      </c>
      <c r="N55" s="91" t="s">
        <v>101</v>
      </c>
      <c r="O55" s="94">
        <v>0</v>
      </c>
      <c r="P55" s="94">
        <v>0.2</v>
      </c>
      <c r="Q55" s="94">
        <v>0.3</v>
      </c>
      <c r="R55" s="94">
        <v>0.5</v>
      </c>
      <c r="S55" s="94">
        <v>1</v>
      </c>
      <c r="T55" s="22" t="s">
        <v>77</v>
      </c>
      <c r="U55" s="94"/>
      <c r="V55" s="94"/>
      <c r="W55" s="94"/>
      <c r="X55" s="94"/>
      <c r="Y55" s="94"/>
      <c r="Z55" s="94"/>
      <c r="AA55" s="92"/>
      <c r="AB55" s="98"/>
      <c r="AC55" s="19"/>
      <c r="AD55" s="19"/>
      <c r="AE55" s="17"/>
      <c r="AF55" s="17"/>
      <c r="AG55" s="104"/>
      <c r="AH55" s="104"/>
      <c r="AI55" s="133"/>
      <c r="AJ55" s="133"/>
      <c r="AK55" s="133"/>
      <c r="AL55" s="27"/>
      <c r="AM55" s="103" t="s">
        <v>584</v>
      </c>
      <c r="AN55" s="103" t="s">
        <v>584</v>
      </c>
      <c r="AO55" s="109" t="s">
        <v>450</v>
      </c>
      <c r="AP55" s="109" t="s">
        <v>352</v>
      </c>
      <c r="AQ55" s="116" t="s">
        <v>246</v>
      </c>
      <c r="AR55" s="22" t="s">
        <v>8</v>
      </c>
      <c r="AS55" s="22" t="s">
        <v>71</v>
      </c>
      <c r="AT55" s="110" t="s">
        <v>101</v>
      </c>
      <c r="AU55" s="22" t="s">
        <v>77</v>
      </c>
      <c r="AV55" s="21">
        <v>44197</v>
      </c>
      <c r="AW55" s="21">
        <v>44926</v>
      </c>
      <c r="AX55" s="92">
        <v>0</v>
      </c>
      <c r="AY55" s="92">
        <v>0</v>
      </c>
      <c r="AZ55" s="99">
        <v>0.5</v>
      </c>
      <c r="BA55" s="99">
        <v>0.5</v>
      </c>
      <c r="BB55" s="99">
        <v>1</v>
      </c>
      <c r="BC55" s="92">
        <v>0</v>
      </c>
      <c r="BD55" s="92">
        <v>0</v>
      </c>
      <c r="BE55" s="92">
        <v>0</v>
      </c>
      <c r="BF55" s="92">
        <v>0</v>
      </c>
      <c r="BG55" s="92">
        <v>0</v>
      </c>
      <c r="BH55" s="92">
        <v>0</v>
      </c>
      <c r="BI55" s="92">
        <v>0</v>
      </c>
      <c r="BJ55" s="98"/>
      <c r="BK55" s="208"/>
      <c r="BL55" s="208"/>
      <c r="BM55" s="237"/>
      <c r="BN55" s="237"/>
      <c r="BO55" s="154" t="s">
        <v>500</v>
      </c>
      <c r="BP55" s="154" t="s">
        <v>500</v>
      </c>
      <c r="BQ55" s="212"/>
      <c r="BR55" s="155"/>
      <c r="BS55" s="192"/>
      <c r="BT55" s="20"/>
      <c r="BU55" s="214"/>
      <c r="BV55" s="214"/>
      <c r="BW55" s="177"/>
      <c r="BX55" s="177"/>
      <c r="BY55" s="315">
        <v>0</v>
      </c>
      <c r="BZ55" s="315">
        <v>0</v>
      </c>
      <c r="CA55" s="192"/>
      <c r="CB55" s="104"/>
      <c r="CC55" s="272"/>
      <c r="CD55" s="21">
        <v>44377</v>
      </c>
      <c r="CE55" s="22" t="str">
        <f t="shared" si="12"/>
        <v>2. Propici</v>
      </c>
      <c r="CF55" s="22" t="str">
        <f t="shared" si="37"/>
        <v>5. Implementar al 100% la Política pública nacional para el diálogo social e intercultural y la reso</v>
      </c>
      <c r="CG55" s="22" t="str">
        <f t="shared" si="38"/>
        <v>Puesta en marcha del Sistema Nacional de Resolución de Conflictividad Social (SNRC).</v>
      </c>
      <c r="CH55" s="22" t="str">
        <f t="shared" si="39"/>
        <v xml:space="preserve">Producto </v>
      </c>
      <c r="CI55" s="22" t="str">
        <f t="shared" si="40"/>
        <v>Producto</v>
      </c>
      <c r="CJ55" s="273" t="str">
        <f t="shared" si="17"/>
        <v/>
      </c>
      <c r="CK55" s="273" t="str">
        <f t="shared" si="18"/>
        <v/>
      </c>
      <c r="CL55" s="273">
        <f t="shared" si="35"/>
        <v>0</v>
      </c>
      <c r="CM55" s="273">
        <f t="shared" si="36"/>
        <v>0</v>
      </c>
      <c r="CN55" s="23"/>
      <c r="CO55" s="273">
        <f t="shared" si="21"/>
        <v>0.63660384774084255</v>
      </c>
      <c r="CP55" s="273">
        <f t="shared" si="22"/>
        <v>0.7442974658112228</v>
      </c>
      <c r="CQ55" s="273">
        <f t="shared" si="23"/>
        <v>0.625</v>
      </c>
      <c r="CR55" s="273">
        <f t="shared" si="24"/>
        <v>0.56599999999999995</v>
      </c>
      <c r="CS55" s="273">
        <f t="shared" si="25"/>
        <v>0.4375</v>
      </c>
      <c r="CT55" s="273" t="str">
        <f t="shared" si="26"/>
        <v/>
      </c>
      <c r="CU55" s="273">
        <f t="shared" si="30"/>
        <v>0</v>
      </c>
      <c r="CV55" s="25">
        <f t="shared" si="41"/>
        <v>0</v>
      </c>
    </row>
    <row r="56" spans="1:100" s="274" customFormat="1" ht="140.25" hidden="1" customHeight="1" x14ac:dyDescent="0.2">
      <c r="A56" s="175" t="s">
        <v>10</v>
      </c>
      <c r="B56" s="22" t="s">
        <v>619</v>
      </c>
      <c r="C56" s="22" t="s">
        <v>102</v>
      </c>
      <c r="D56" s="22" t="s">
        <v>68</v>
      </c>
      <c r="E56" s="22" t="s">
        <v>109</v>
      </c>
      <c r="F56" s="22" t="s">
        <v>68</v>
      </c>
      <c r="G56" s="22" t="s">
        <v>131</v>
      </c>
      <c r="H56" s="90" t="s">
        <v>249</v>
      </c>
      <c r="I56" s="90" t="s">
        <v>314</v>
      </c>
      <c r="J56" s="90" t="s">
        <v>347</v>
      </c>
      <c r="K56" s="90" t="s">
        <v>151</v>
      </c>
      <c r="L56" s="22" t="s">
        <v>76</v>
      </c>
      <c r="M56" s="22" t="s">
        <v>104</v>
      </c>
      <c r="N56" s="91" t="s">
        <v>101</v>
      </c>
      <c r="O56" s="94">
        <v>1</v>
      </c>
      <c r="P56" s="94">
        <v>1</v>
      </c>
      <c r="Q56" s="94">
        <v>1</v>
      </c>
      <c r="R56" s="94">
        <v>1</v>
      </c>
      <c r="S56" s="94">
        <v>1</v>
      </c>
      <c r="T56" s="22" t="s">
        <v>77</v>
      </c>
      <c r="U56" s="94">
        <v>1</v>
      </c>
      <c r="V56" s="94">
        <v>0.15151515151515152</v>
      </c>
      <c r="W56" s="94">
        <f>((79%*30%)/100%)+((79%*20%)/100%)+((60%*30%)/100%)+(100%*20%)/100%</f>
        <v>0.77499999999999991</v>
      </c>
      <c r="X56" s="106">
        <f>((82%*30%)/100%)+((63%*20%)/100%)+((100%*30%)/100%)+(100%*20%)/100%</f>
        <v>0.87199999999999989</v>
      </c>
      <c r="Y56" s="105">
        <f>((100%*30%)/100%)+((94%*20%)/100%)+((100%*30%)/100%)+(100%*20%)/100%</f>
        <v>0.98799999999999999</v>
      </c>
      <c r="Z56" s="105">
        <f>((100%*30%)/100%)+((94%*20%)/100%)+((100%*30%)/100%)+(100%*20%)/100%</f>
        <v>0.98799999999999999</v>
      </c>
      <c r="AA56" s="98">
        <f>3/3</f>
        <v>1</v>
      </c>
      <c r="AB56" s="297">
        <v>0.70588235294117652</v>
      </c>
      <c r="AC56" s="177"/>
      <c r="AD56" s="177"/>
      <c r="AE56" s="189"/>
      <c r="AF56" s="189"/>
      <c r="AG56" s="104" t="s">
        <v>501</v>
      </c>
      <c r="AH56" s="104" t="s">
        <v>566</v>
      </c>
      <c r="AI56" s="192"/>
      <c r="AJ56" s="192"/>
      <c r="AK56" s="192"/>
      <c r="AL56" s="200"/>
      <c r="AM56" s="103">
        <v>0.70588235294117652</v>
      </c>
      <c r="AN56" s="103">
        <v>0.70588235294117652</v>
      </c>
      <c r="AO56" s="109" t="s">
        <v>451</v>
      </c>
      <c r="AP56" s="115" t="s">
        <v>160</v>
      </c>
      <c r="AQ56" s="116" t="s">
        <v>151</v>
      </c>
      <c r="AR56" s="110" t="s">
        <v>8</v>
      </c>
      <c r="AS56" s="110" t="s">
        <v>104</v>
      </c>
      <c r="AT56" s="110" t="s">
        <v>101</v>
      </c>
      <c r="AU56" s="22" t="s">
        <v>77</v>
      </c>
      <c r="AV56" s="21">
        <v>43466</v>
      </c>
      <c r="AW56" s="21">
        <v>44926</v>
      </c>
      <c r="AX56" s="94">
        <v>1</v>
      </c>
      <c r="AY56" s="94">
        <v>1</v>
      </c>
      <c r="AZ56" s="94">
        <v>1</v>
      </c>
      <c r="BA56" s="94">
        <v>1</v>
      </c>
      <c r="BB56" s="94">
        <v>1</v>
      </c>
      <c r="BC56" s="94">
        <v>1</v>
      </c>
      <c r="BD56" s="94">
        <v>0</v>
      </c>
      <c r="BE56" s="95">
        <v>0.78</v>
      </c>
      <c r="BF56" s="105">
        <v>0.78</v>
      </c>
      <c r="BG56" s="105">
        <f>((100%*30%)/100%)+((94%*20%)/100%)+((100%*30%)/100%)+(100%*20%)/100%</f>
        <v>0.98799999999999999</v>
      </c>
      <c r="BH56" s="105">
        <f>((100%*30%)/100%)+((94%*20%)/100%)+((100%*30%)/100%)+(100%*20%)/100%</f>
        <v>0.98799999999999999</v>
      </c>
      <c r="BI56" s="98">
        <f>3/3</f>
        <v>1</v>
      </c>
      <c r="BJ56" s="98">
        <f>3/3</f>
        <v>1</v>
      </c>
      <c r="BK56" s="177"/>
      <c r="BL56" s="177"/>
      <c r="BM56" s="177"/>
      <c r="BN56" s="177"/>
      <c r="BO56" s="154" t="s">
        <v>501</v>
      </c>
      <c r="BP56" s="154" t="s">
        <v>610</v>
      </c>
      <c r="BQ56" s="212"/>
      <c r="BR56" s="155"/>
      <c r="BS56" s="192"/>
      <c r="BT56" s="142">
        <v>2289859390</v>
      </c>
      <c r="BU56" s="219"/>
      <c r="BV56" s="219"/>
      <c r="BW56" s="177"/>
      <c r="BX56" s="177"/>
      <c r="BY56" s="315">
        <v>1</v>
      </c>
      <c r="BZ56" s="315">
        <v>0.996</v>
      </c>
      <c r="CA56" s="192"/>
      <c r="CB56" s="104"/>
      <c r="CC56" s="276"/>
      <c r="CD56" s="21">
        <v>44377</v>
      </c>
      <c r="CE56" s="22" t="str">
        <f t="shared" si="12"/>
        <v>2. Propici</v>
      </c>
      <c r="CF56" s="22" t="str">
        <f t="shared" si="37"/>
        <v>6. Implementación de las actividades establecidas por proyecto de inversión de Seguridad y Convivenc</v>
      </c>
      <c r="CG56" s="22" t="str">
        <f t="shared" si="38"/>
        <v>Implementar el 100% de la Política Marco de Convivencia y Seguridad Ciudadana en el territorio nacio</v>
      </c>
      <c r="CH56" s="22" t="str">
        <f t="shared" si="39"/>
        <v xml:space="preserve">Producto </v>
      </c>
      <c r="CI56" s="22" t="str">
        <f t="shared" si="40"/>
        <v>Producto</v>
      </c>
      <c r="CJ56" s="273" t="str">
        <f t="shared" si="17"/>
        <v/>
      </c>
      <c r="CK56" s="273">
        <f t="shared" si="18"/>
        <v>5.4298642533936653E-2</v>
      </c>
      <c r="CL56" s="273">
        <f t="shared" si="35"/>
        <v>1</v>
      </c>
      <c r="CM56" s="273">
        <f t="shared" si="36"/>
        <v>0.996</v>
      </c>
      <c r="CN56" s="23"/>
      <c r="CO56" s="273">
        <f t="shared" si="21"/>
        <v>0.63660384774084255</v>
      </c>
      <c r="CP56" s="273">
        <f t="shared" si="22"/>
        <v>0.7442974658112228</v>
      </c>
      <c r="CQ56" s="273">
        <f t="shared" si="23"/>
        <v>0.625</v>
      </c>
      <c r="CR56" s="273">
        <f t="shared" si="24"/>
        <v>0.56599999999999995</v>
      </c>
      <c r="CS56" s="273">
        <f t="shared" si="25"/>
        <v>1</v>
      </c>
      <c r="CT56" s="273">
        <f t="shared" si="26"/>
        <v>0.70588235294117652</v>
      </c>
      <c r="CU56" s="273">
        <f t="shared" si="30"/>
        <v>1</v>
      </c>
      <c r="CV56" s="25">
        <f>+IFERROR(IF(CG56&lt;&gt;#REF!,IF(OR(BZ56="No aplica, no hay meta",BZ56="No aplica"),"",IF(ISTEXT(BZ56)=TRUE,0,IF(BZ56&gt;1,1.00001,BZ56))),""),0)</f>
        <v>0</v>
      </c>
    </row>
    <row r="57" spans="1:100" s="274" customFormat="1" ht="147.75" hidden="1" customHeight="1" x14ac:dyDescent="0.2">
      <c r="A57" s="175" t="s">
        <v>10</v>
      </c>
      <c r="B57" s="22" t="s">
        <v>619</v>
      </c>
      <c r="C57" s="22" t="s">
        <v>102</v>
      </c>
      <c r="D57" s="22" t="s">
        <v>68</v>
      </c>
      <c r="E57" s="22" t="s">
        <v>109</v>
      </c>
      <c r="F57" s="22" t="s">
        <v>68</v>
      </c>
      <c r="G57" s="22" t="s">
        <v>131</v>
      </c>
      <c r="H57" s="90" t="s">
        <v>249</v>
      </c>
      <c r="I57" s="90" t="s">
        <v>315</v>
      </c>
      <c r="J57" s="90" t="s">
        <v>122</v>
      </c>
      <c r="K57" s="90" t="s">
        <v>245</v>
      </c>
      <c r="L57" s="22" t="s">
        <v>81</v>
      </c>
      <c r="M57" s="100" t="s">
        <v>104</v>
      </c>
      <c r="N57" s="91" t="s">
        <v>101</v>
      </c>
      <c r="O57" s="94">
        <v>1</v>
      </c>
      <c r="P57" s="94">
        <v>1</v>
      </c>
      <c r="Q57" s="94">
        <v>1</v>
      </c>
      <c r="R57" s="94">
        <v>1</v>
      </c>
      <c r="S57" s="94">
        <v>1</v>
      </c>
      <c r="T57" s="22" t="s">
        <v>77</v>
      </c>
      <c r="U57" s="94">
        <v>1</v>
      </c>
      <c r="V57" s="94">
        <v>1</v>
      </c>
      <c r="W57" s="94">
        <f>13/13</f>
        <v>1</v>
      </c>
      <c r="X57" s="106">
        <f>11/11</f>
        <v>1</v>
      </c>
      <c r="Y57" s="106">
        <v>1</v>
      </c>
      <c r="Z57" s="106">
        <v>1</v>
      </c>
      <c r="AA57" s="98">
        <f>8/8</f>
        <v>1</v>
      </c>
      <c r="AB57" s="98">
        <f>5/5</f>
        <v>1</v>
      </c>
      <c r="AC57" s="177"/>
      <c r="AD57" s="177"/>
      <c r="AE57" s="177"/>
      <c r="AF57" s="177"/>
      <c r="AG57" s="104" t="s">
        <v>422</v>
      </c>
      <c r="AH57" s="104" t="s">
        <v>615</v>
      </c>
      <c r="AI57" s="192"/>
      <c r="AJ57" s="192"/>
      <c r="AK57" s="192"/>
      <c r="AL57" s="200"/>
      <c r="AM57" s="103">
        <v>1</v>
      </c>
      <c r="AN57" s="103">
        <v>1</v>
      </c>
      <c r="AO57" s="109" t="s">
        <v>452</v>
      </c>
      <c r="AP57" s="115" t="s">
        <v>122</v>
      </c>
      <c r="AQ57" s="116" t="s">
        <v>150</v>
      </c>
      <c r="AR57" s="110" t="s">
        <v>9</v>
      </c>
      <c r="AS57" s="110" t="s">
        <v>104</v>
      </c>
      <c r="AT57" s="110" t="s">
        <v>101</v>
      </c>
      <c r="AU57" s="22" t="s">
        <v>77</v>
      </c>
      <c r="AV57" s="121">
        <v>43466</v>
      </c>
      <c r="AW57" s="121">
        <v>44926</v>
      </c>
      <c r="AX57" s="94">
        <v>1</v>
      </c>
      <c r="AY57" s="94">
        <v>1</v>
      </c>
      <c r="AZ57" s="94">
        <v>1</v>
      </c>
      <c r="BA57" s="94">
        <v>1</v>
      </c>
      <c r="BB57" s="94">
        <v>1</v>
      </c>
      <c r="BC57" s="94">
        <v>1</v>
      </c>
      <c r="BD57" s="94">
        <v>1</v>
      </c>
      <c r="BE57" s="94">
        <v>1</v>
      </c>
      <c r="BF57" s="94">
        <v>1</v>
      </c>
      <c r="BG57" s="94">
        <v>1</v>
      </c>
      <c r="BH57" s="94">
        <v>1</v>
      </c>
      <c r="BI57" s="98">
        <f>8/8</f>
        <v>1</v>
      </c>
      <c r="BJ57" s="98">
        <f>5/5</f>
        <v>1</v>
      </c>
      <c r="BK57" s="177"/>
      <c r="BL57" s="177"/>
      <c r="BM57" s="177"/>
      <c r="BN57" s="177"/>
      <c r="BO57" s="154" t="s">
        <v>422</v>
      </c>
      <c r="BP57" s="154" t="s">
        <v>615</v>
      </c>
      <c r="BQ57" s="212"/>
      <c r="BR57" s="155"/>
      <c r="BS57" s="192"/>
      <c r="BT57" s="136">
        <v>471100000</v>
      </c>
      <c r="BU57" s="220"/>
      <c r="BV57" s="220"/>
      <c r="BW57" s="177"/>
      <c r="BX57" s="177"/>
      <c r="BY57" s="315">
        <v>1</v>
      </c>
      <c r="BZ57" s="315">
        <v>1</v>
      </c>
      <c r="CA57" s="203"/>
      <c r="CB57" s="147"/>
      <c r="CC57" s="276"/>
      <c r="CD57" s="21">
        <v>44377</v>
      </c>
      <c r="CE57" s="22" t="str">
        <f t="shared" si="12"/>
        <v>2. Propici</v>
      </c>
      <c r="CF57" s="22" t="str">
        <f t="shared" si="37"/>
        <v>7. Atender y hacer seguimiento al 100% de las alertas emitidas por la Defensoría del Pueblo  a la Se</v>
      </c>
      <c r="CG57" s="22" t="str">
        <f t="shared" si="38"/>
        <v>Atender y hacer seguimiento al 100% de las alertas emitidas por la Defensoría del Pueblo a la Secret</v>
      </c>
      <c r="CH57" s="22" t="str">
        <f t="shared" si="39"/>
        <v xml:space="preserve">Gestión </v>
      </c>
      <c r="CI57" s="22" t="str">
        <f t="shared" si="40"/>
        <v>Gestión</v>
      </c>
      <c r="CJ57" s="273" t="str">
        <f t="shared" si="17"/>
        <v/>
      </c>
      <c r="CK57" s="273">
        <f t="shared" si="18"/>
        <v>7.6923076923076927E-2</v>
      </c>
      <c r="CL57" s="273">
        <f t="shared" si="35"/>
        <v>1</v>
      </c>
      <c r="CM57" s="273">
        <f t="shared" si="36"/>
        <v>1</v>
      </c>
      <c r="CN57" s="23"/>
      <c r="CO57" s="273">
        <f t="shared" si="21"/>
        <v>0.63660384774084255</v>
      </c>
      <c r="CP57" s="273">
        <f t="shared" si="22"/>
        <v>0.7442974658112228</v>
      </c>
      <c r="CQ57" s="273">
        <f t="shared" si="23"/>
        <v>0.625</v>
      </c>
      <c r="CR57" s="273">
        <f t="shared" si="24"/>
        <v>0.56599999999999995</v>
      </c>
      <c r="CS57" s="273">
        <f t="shared" si="25"/>
        <v>1</v>
      </c>
      <c r="CT57" s="273">
        <f t="shared" si="26"/>
        <v>1</v>
      </c>
      <c r="CU57" s="273">
        <f t="shared" si="30"/>
        <v>1</v>
      </c>
      <c r="CV57" s="25">
        <f t="shared" si="41"/>
        <v>1</v>
      </c>
    </row>
    <row r="58" spans="1:100" s="274" customFormat="1" ht="86.1" hidden="1" customHeight="1" x14ac:dyDescent="0.2">
      <c r="A58" s="174" t="s">
        <v>10</v>
      </c>
      <c r="B58" s="22" t="s">
        <v>144</v>
      </c>
      <c r="C58" s="22" t="s">
        <v>237</v>
      </c>
      <c r="D58" s="22" t="s">
        <v>68</v>
      </c>
      <c r="E58" s="22" t="s">
        <v>103</v>
      </c>
      <c r="F58" s="22" t="s">
        <v>68</v>
      </c>
      <c r="G58" s="22" t="s">
        <v>238</v>
      </c>
      <c r="H58" s="163" t="s">
        <v>250</v>
      </c>
      <c r="I58" s="90" t="s">
        <v>375</v>
      </c>
      <c r="J58" s="90" t="s">
        <v>376</v>
      </c>
      <c r="K58" s="90" t="s">
        <v>377</v>
      </c>
      <c r="L58" s="22" t="s">
        <v>76</v>
      </c>
      <c r="M58" s="100" t="s">
        <v>71</v>
      </c>
      <c r="N58" s="97">
        <v>800</v>
      </c>
      <c r="O58" s="97">
        <v>1884</v>
      </c>
      <c r="P58" s="97">
        <v>2224</v>
      </c>
      <c r="Q58" s="97">
        <v>2224</v>
      </c>
      <c r="R58" s="97">
        <v>2225</v>
      </c>
      <c r="S58" s="97">
        <v>8557</v>
      </c>
      <c r="T58" s="22" t="s">
        <v>72</v>
      </c>
      <c r="U58" s="91">
        <v>1884</v>
      </c>
      <c r="V58" s="91">
        <v>200</v>
      </c>
      <c r="W58" s="91">
        <v>698</v>
      </c>
      <c r="X58" s="91">
        <v>2403</v>
      </c>
      <c r="Y58" s="91">
        <v>2064</v>
      </c>
      <c r="Z58" s="91">
        <v>5365</v>
      </c>
      <c r="AA58" s="91">
        <v>69</v>
      </c>
      <c r="AB58" s="108">
        <v>746</v>
      </c>
      <c r="AC58" s="185"/>
      <c r="AD58" s="185"/>
      <c r="AE58" s="182"/>
      <c r="AF58" s="182"/>
      <c r="AG58" s="104" t="s">
        <v>429</v>
      </c>
      <c r="AH58" s="90" t="s">
        <v>540</v>
      </c>
      <c r="AI58" s="192"/>
      <c r="AJ58" s="192"/>
      <c r="AK58" s="192"/>
      <c r="AL58" s="201"/>
      <c r="AM58" s="103">
        <v>0.3664568345323741</v>
      </c>
      <c r="AN58" s="103">
        <v>0.94238635035643337</v>
      </c>
      <c r="AO58" s="109" t="s">
        <v>326</v>
      </c>
      <c r="AP58" s="115" t="s">
        <v>239</v>
      </c>
      <c r="AQ58" s="116" t="s">
        <v>240</v>
      </c>
      <c r="AR58" s="110" t="s">
        <v>8</v>
      </c>
      <c r="AS58" s="110" t="s">
        <v>71</v>
      </c>
      <c r="AT58" s="122">
        <v>607</v>
      </c>
      <c r="AU58" s="91" t="s">
        <v>72</v>
      </c>
      <c r="AV58" s="123">
        <v>43466</v>
      </c>
      <c r="AW58" s="123">
        <v>44926</v>
      </c>
      <c r="AX58" s="91">
        <v>607</v>
      </c>
      <c r="AY58" s="91">
        <v>650</v>
      </c>
      <c r="AZ58" s="91">
        <v>650</v>
      </c>
      <c r="BA58" s="91">
        <v>650</v>
      </c>
      <c r="BB58" s="91">
        <v>2557</v>
      </c>
      <c r="BC58" s="91">
        <v>607</v>
      </c>
      <c r="BD58" s="92">
        <v>0</v>
      </c>
      <c r="BE58" s="92">
        <v>0</v>
      </c>
      <c r="BF58" s="92">
        <v>0</v>
      </c>
      <c r="BG58" s="91">
        <f>524+84</f>
        <v>608</v>
      </c>
      <c r="BH58" s="91">
        <f>524+84</f>
        <v>608</v>
      </c>
      <c r="BI58" s="91">
        <v>0</v>
      </c>
      <c r="BJ58" s="108">
        <v>0</v>
      </c>
      <c r="BK58" s="185"/>
      <c r="BL58" s="185"/>
      <c r="BM58" s="182"/>
      <c r="BN58" s="182"/>
      <c r="BO58" s="154" t="s">
        <v>502</v>
      </c>
      <c r="BP58" s="104" t="s">
        <v>541</v>
      </c>
      <c r="BQ58" s="212"/>
      <c r="BR58" s="155"/>
      <c r="BS58" s="192"/>
      <c r="BT58" s="20">
        <v>16480000000</v>
      </c>
      <c r="BU58" s="214"/>
      <c r="BV58" s="214"/>
      <c r="BW58" s="177"/>
      <c r="BX58" s="177"/>
      <c r="BY58" s="315">
        <v>0</v>
      </c>
      <c r="BZ58" s="315">
        <v>0.47516621040281581</v>
      </c>
      <c r="CA58" s="203"/>
      <c r="CB58" s="147"/>
      <c r="CC58" s="276"/>
      <c r="CD58" s="21">
        <v>44377</v>
      </c>
      <c r="CE58" s="22" t="str">
        <f t="shared" si="12"/>
        <v>3. Fortale</v>
      </c>
      <c r="CF58" s="22" t="str">
        <f t="shared" si="37"/>
        <v>1. Fortalecer a las organizaciones de Acción Comunal en el país, mediante la implementación de proye</v>
      </c>
      <c r="CG58" s="22" t="str">
        <f t="shared" si="38"/>
        <v>8.1 Realizar convocatoria del banco de acciones comunales y apertura de la nueva línea FONSECON para</v>
      </c>
      <c r="CH58" s="22" t="str">
        <f t="shared" si="39"/>
        <v xml:space="preserve">Producto </v>
      </c>
      <c r="CI58" s="22" t="str">
        <f t="shared" si="40"/>
        <v>Producto</v>
      </c>
      <c r="CJ58" s="273">
        <f t="shared" si="17"/>
        <v>1.1104752561587094E-2</v>
      </c>
      <c r="CK58" s="273">
        <f t="shared" si="18"/>
        <v>4.5807104316546762E-2</v>
      </c>
      <c r="CL58" s="273">
        <f t="shared" si="35"/>
        <v>0</v>
      </c>
      <c r="CM58" s="273">
        <f t="shared" si="36"/>
        <v>0.23758310520140791</v>
      </c>
      <c r="CN58" s="23"/>
      <c r="CO58" s="273">
        <f t="shared" si="21"/>
        <v>0.63660384774084255</v>
      </c>
      <c r="CP58" s="273">
        <f t="shared" si="22"/>
        <v>0.7442974658112228</v>
      </c>
      <c r="CQ58" s="273">
        <f t="shared" si="23"/>
        <v>0.64067132570944507</v>
      </c>
      <c r="CR58" s="273">
        <f t="shared" si="24"/>
        <v>0.84064702630035204</v>
      </c>
      <c r="CS58" s="273">
        <f t="shared" si="25"/>
        <v>0.29701397712833544</v>
      </c>
      <c r="CT58" s="273">
        <f t="shared" si="26"/>
        <v>0.3664568345323741</v>
      </c>
      <c r="CU58" s="273">
        <f t="shared" si="30"/>
        <v>0</v>
      </c>
      <c r="CV58" s="25">
        <f>+IFERROR(IF(CG58&lt;&gt;#REF!,IF(OR(BZ58="No aplica, no hay meta",BZ58="No aplica"),"",IF(ISTEXT(BZ58)=TRUE,0,IF(BZ58&gt;1,1.00001,BZ58))),""),0)</f>
        <v>0</v>
      </c>
    </row>
    <row r="59" spans="1:100" s="274" customFormat="1" ht="86.1" hidden="1" customHeight="1" x14ac:dyDescent="0.2">
      <c r="A59" s="174" t="s">
        <v>10</v>
      </c>
      <c r="B59" s="22" t="s">
        <v>144</v>
      </c>
      <c r="C59" s="22" t="s">
        <v>237</v>
      </c>
      <c r="D59" s="22" t="s">
        <v>68</v>
      </c>
      <c r="E59" s="22" t="s">
        <v>103</v>
      </c>
      <c r="F59" s="22" t="s">
        <v>68</v>
      </c>
      <c r="G59" s="22" t="s">
        <v>238</v>
      </c>
      <c r="H59" s="163" t="s">
        <v>250</v>
      </c>
      <c r="I59" s="90" t="s">
        <v>375</v>
      </c>
      <c r="J59" s="90" t="s">
        <v>376</v>
      </c>
      <c r="K59" s="90" t="s">
        <v>377</v>
      </c>
      <c r="L59" s="22" t="s">
        <v>76</v>
      </c>
      <c r="M59" s="100" t="s">
        <v>71</v>
      </c>
      <c r="N59" s="97">
        <v>800</v>
      </c>
      <c r="O59" s="97">
        <v>1884</v>
      </c>
      <c r="P59" s="97">
        <v>2224</v>
      </c>
      <c r="Q59" s="97">
        <v>2224</v>
      </c>
      <c r="R59" s="97">
        <v>2225</v>
      </c>
      <c r="S59" s="97">
        <v>8557</v>
      </c>
      <c r="T59" s="22" t="s">
        <v>72</v>
      </c>
      <c r="U59" s="92"/>
      <c r="V59" s="92"/>
      <c r="W59" s="92"/>
      <c r="X59" s="92"/>
      <c r="Y59" s="92"/>
      <c r="Z59" s="92"/>
      <c r="AA59" s="91"/>
      <c r="AB59" s="108"/>
      <c r="AC59" s="18"/>
      <c r="AD59" s="18"/>
      <c r="AE59" s="128"/>
      <c r="AF59" s="128"/>
      <c r="AG59" s="104"/>
      <c r="AH59" s="104"/>
      <c r="AI59" s="133"/>
      <c r="AJ59" s="133"/>
      <c r="AK59" s="133"/>
      <c r="AL59" s="8"/>
      <c r="AM59" s="103" t="s">
        <v>584</v>
      </c>
      <c r="AN59" s="103" t="s">
        <v>584</v>
      </c>
      <c r="AO59" s="109" t="s">
        <v>327</v>
      </c>
      <c r="AP59" s="115" t="s">
        <v>241</v>
      </c>
      <c r="AQ59" s="116" t="s">
        <v>242</v>
      </c>
      <c r="AR59" s="110" t="s">
        <v>8</v>
      </c>
      <c r="AS59" s="110" t="s">
        <v>71</v>
      </c>
      <c r="AT59" s="124">
        <v>800</v>
      </c>
      <c r="AU59" s="22" t="s">
        <v>72</v>
      </c>
      <c r="AV59" s="123">
        <v>43466</v>
      </c>
      <c r="AW59" s="123">
        <v>44926</v>
      </c>
      <c r="AX59" s="91">
        <v>1277</v>
      </c>
      <c r="AY59" s="91">
        <v>1574</v>
      </c>
      <c r="AZ59" s="91">
        <v>1574</v>
      </c>
      <c r="BA59" s="91">
        <v>1575</v>
      </c>
      <c r="BB59" s="91">
        <v>6000</v>
      </c>
      <c r="BC59" s="91">
        <v>1277</v>
      </c>
      <c r="BD59" s="91">
        <v>280</v>
      </c>
      <c r="BE59" s="91">
        <v>745</v>
      </c>
      <c r="BF59" s="91">
        <v>2511</v>
      </c>
      <c r="BG59" s="91">
        <v>1450</v>
      </c>
      <c r="BH59" s="91">
        <v>4986</v>
      </c>
      <c r="BI59" s="91">
        <v>171</v>
      </c>
      <c r="BJ59" s="108">
        <v>764</v>
      </c>
      <c r="BK59" s="185"/>
      <c r="BL59" s="185"/>
      <c r="BM59" s="182"/>
      <c r="BN59" s="182"/>
      <c r="BO59" s="154" t="s">
        <v>428</v>
      </c>
      <c r="BP59" s="104" t="s">
        <v>611</v>
      </c>
      <c r="BQ59" s="212"/>
      <c r="BR59" s="155"/>
      <c r="BS59" s="192"/>
      <c r="BT59" s="20">
        <v>2407168949</v>
      </c>
      <c r="BU59" s="214"/>
      <c r="BV59" s="214"/>
      <c r="BW59" s="177"/>
      <c r="BX59" s="177"/>
      <c r="BY59" s="315">
        <v>0.59402795425667088</v>
      </c>
      <c r="BZ59" s="315">
        <v>1.0000100000000001</v>
      </c>
      <c r="CA59" s="203"/>
      <c r="CB59" s="147"/>
      <c r="CC59" s="272"/>
      <c r="CD59" s="21">
        <v>44377</v>
      </c>
      <c r="CE59" s="22" t="str">
        <f t="shared" si="12"/>
        <v>3. Fortale</v>
      </c>
      <c r="CF59" s="22" t="str">
        <f t="shared" si="37"/>
        <v>1. Fortalecer a las organizaciones de Acción Comunal en el país, mediante la implementación de proye</v>
      </c>
      <c r="CG59" s="22" t="str">
        <f t="shared" si="38"/>
        <v>8.2 Realizar asistencia técnica y jurídica en el marco normativo comunal a las Organizaciones de Acc</v>
      </c>
      <c r="CH59" s="22" t="str">
        <f t="shared" si="39"/>
        <v xml:space="preserve">Producto </v>
      </c>
      <c r="CI59" s="22" t="str">
        <f t="shared" si="40"/>
        <v>Producto</v>
      </c>
      <c r="CJ59" s="273" t="str">
        <f t="shared" si="17"/>
        <v/>
      </c>
      <c r="CK59" s="273" t="str">
        <f t="shared" si="18"/>
        <v/>
      </c>
      <c r="CL59" s="273">
        <f t="shared" si="35"/>
        <v>0.29701397712833544</v>
      </c>
      <c r="CM59" s="273">
        <f t="shared" si="36"/>
        <v>0.50000500000000003</v>
      </c>
      <c r="CN59" s="23"/>
      <c r="CO59" s="273">
        <f t="shared" si="21"/>
        <v>0.63660384774084255</v>
      </c>
      <c r="CP59" s="273">
        <f t="shared" si="22"/>
        <v>0.7442974658112228</v>
      </c>
      <c r="CQ59" s="273">
        <f t="shared" si="23"/>
        <v>0.64067132570944507</v>
      </c>
      <c r="CR59" s="273">
        <f t="shared" si="24"/>
        <v>0.84064702630035204</v>
      </c>
      <c r="CS59" s="273">
        <f t="shared" si="25"/>
        <v>0.29701397712833544</v>
      </c>
      <c r="CT59" s="273" t="str">
        <f t="shared" si="26"/>
        <v/>
      </c>
      <c r="CU59" s="273">
        <f t="shared" si="30"/>
        <v>0.59402795425667088</v>
      </c>
      <c r="CV59" s="25">
        <f t="shared" si="41"/>
        <v>1.0000100000000001</v>
      </c>
    </row>
    <row r="60" spans="1:100" s="274" customFormat="1" ht="271.5" hidden="1" customHeight="1" x14ac:dyDescent="0.2">
      <c r="A60" s="171" t="s">
        <v>10</v>
      </c>
      <c r="B60" s="22" t="s">
        <v>221</v>
      </c>
      <c r="C60" s="22" t="s">
        <v>102</v>
      </c>
      <c r="D60" s="22" t="s">
        <v>68</v>
      </c>
      <c r="E60" s="22" t="s">
        <v>109</v>
      </c>
      <c r="F60" s="22" t="s">
        <v>68</v>
      </c>
      <c r="G60" s="22" t="s">
        <v>131</v>
      </c>
      <c r="H60" s="163" t="s">
        <v>250</v>
      </c>
      <c r="I60" s="90" t="s">
        <v>316</v>
      </c>
      <c r="J60" s="90" t="s">
        <v>348</v>
      </c>
      <c r="K60" s="90" t="s">
        <v>503</v>
      </c>
      <c r="L60" s="22" t="s">
        <v>81</v>
      </c>
      <c r="M60" s="100" t="s">
        <v>88</v>
      </c>
      <c r="N60" s="91" t="s">
        <v>101</v>
      </c>
      <c r="O60" s="94">
        <v>0</v>
      </c>
      <c r="P60" s="94">
        <v>0.7</v>
      </c>
      <c r="Q60" s="94">
        <v>0.5</v>
      </c>
      <c r="R60" s="94">
        <v>0.5</v>
      </c>
      <c r="S60" s="94">
        <v>0.5</v>
      </c>
      <c r="T60" s="22" t="s">
        <v>77</v>
      </c>
      <c r="U60" s="94">
        <v>0</v>
      </c>
      <c r="V60" s="94">
        <v>0</v>
      </c>
      <c r="W60" s="94">
        <v>0</v>
      </c>
      <c r="X60" s="94">
        <v>0</v>
      </c>
      <c r="Y60" s="95">
        <v>0.52</v>
      </c>
      <c r="Z60" s="95">
        <v>0.52</v>
      </c>
      <c r="AA60" s="95">
        <v>0</v>
      </c>
      <c r="AB60" s="141">
        <f>(49/54)*Q60</f>
        <v>0.45370370370370372</v>
      </c>
      <c r="AC60" s="190"/>
      <c r="AD60" s="190"/>
      <c r="AE60" s="191"/>
      <c r="AF60" s="191"/>
      <c r="AG60" s="104" t="s">
        <v>504</v>
      </c>
      <c r="AH60" s="104" t="s">
        <v>542</v>
      </c>
      <c r="AI60" s="192"/>
      <c r="AJ60" s="192"/>
      <c r="AK60" s="192"/>
      <c r="AL60" s="194"/>
      <c r="AM60" s="103">
        <v>0.90740740740740744</v>
      </c>
      <c r="AN60" s="103">
        <v>1.0000100000000001</v>
      </c>
      <c r="AO60" s="109" t="s">
        <v>328</v>
      </c>
      <c r="AP60" s="115" t="s">
        <v>354</v>
      </c>
      <c r="AQ60" s="116" t="s">
        <v>353</v>
      </c>
      <c r="AR60" s="110" t="s">
        <v>9</v>
      </c>
      <c r="AS60" s="110" t="s">
        <v>104</v>
      </c>
      <c r="AT60" s="125">
        <v>0.25</v>
      </c>
      <c r="AU60" s="22" t="s">
        <v>77</v>
      </c>
      <c r="AV60" s="21">
        <v>43466</v>
      </c>
      <c r="AW60" s="21">
        <v>44926</v>
      </c>
      <c r="AX60" s="94">
        <v>0</v>
      </c>
      <c r="AY60" s="94">
        <v>1</v>
      </c>
      <c r="AZ60" s="94">
        <v>1</v>
      </c>
      <c r="BA60" s="94">
        <v>1</v>
      </c>
      <c r="BB60" s="94">
        <v>1</v>
      </c>
      <c r="BC60" s="94">
        <v>0</v>
      </c>
      <c r="BD60" s="94">
        <v>1</v>
      </c>
      <c r="BE60" s="94">
        <v>1</v>
      </c>
      <c r="BF60" s="94">
        <v>1</v>
      </c>
      <c r="BG60" s="94">
        <v>1</v>
      </c>
      <c r="BH60" s="94">
        <v>1</v>
      </c>
      <c r="BI60" s="94">
        <f>5/5</f>
        <v>1</v>
      </c>
      <c r="BJ60" s="98">
        <f>54/54</f>
        <v>1</v>
      </c>
      <c r="BK60" s="176"/>
      <c r="BL60" s="176"/>
      <c r="BM60" s="177"/>
      <c r="BN60" s="177"/>
      <c r="BO60" s="154" t="s">
        <v>423</v>
      </c>
      <c r="BP60" s="154" t="s">
        <v>543</v>
      </c>
      <c r="BQ60" s="212"/>
      <c r="BR60" s="155"/>
      <c r="BS60" s="192"/>
      <c r="BT60" s="57" t="s">
        <v>401</v>
      </c>
      <c r="BU60" s="221"/>
      <c r="BV60" s="221"/>
      <c r="BW60" s="177"/>
      <c r="BX60" s="177"/>
      <c r="BY60" s="315">
        <v>1</v>
      </c>
      <c r="BZ60" s="315">
        <v>1</v>
      </c>
      <c r="CA60" s="192"/>
      <c r="CB60" s="104" t="s">
        <v>612</v>
      </c>
      <c r="CC60" s="276"/>
      <c r="CD60" s="21">
        <v>44377</v>
      </c>
      <c r="CE60" s="22" t="str">
        <f t="shared" si="12"/>
        <v>3. Fortale</v>
      </c>
      <c r="CF60" s="22" t="str">
        <f t="shared" si="37"/>
        <v>9. Impulsar acuerdos entre el gobierno y los partidos políticos que permitan construir una mayor cap</v>
      </c>
      <c r="CG60" s="22" t="str">
        <f t="shared" si="38"/>
        <v>9.1 Alcanzar un acuerdo programático que permita asegurar el apoyo de los partidos a los proyectos d</v>
      </c>
      <c r="CH60" s="22" t="str">
        <f t="shared" si="39"/>
        <v xml:space="preserve">Gestión </v>
      </c>
      <c r="CI60" s="22" t="str">
        <f t="shared" si="40"/>
        <v>Gestión</v>
      </c>
      <c r="CJ60" s="273" t="str">
        <f t="shared" si="17"/>
        <v/>
      </c>
      <c r="CK60" s="273">
        <f t="shared" si="18"/>
        <v>0.11342592592592593</v>
      </c>
      <c r="CL60" s="273">
        <f t="shared" si="35"/>
        <v>0.5</v>
      </c>
      <c r="CM60" s="273">
        <f t="shared" si="36"/>
        <v>0.5</v>
      </c>
      <c r="CN60" s="23"/>
      <c r="CO60" s="273">
        <f t="shared" si="21"/>
        <v>0.63660384774084255</v>
      </c>
      <c r="CP60" s="273">
        <f t="shared" si="22"/>
        <v>0.7442974658112228</v>
      </c>
      <c r="CQ60" s="273">
        <f t="shared" si="23"/>
        <v>0.64067132570944507</v>
      </c>
      <c r="CR60" s="273">
        <f t="shared" si="24"/>
        <v>0.84064702630035204</v>
      </c>
      <c r="CS60" s="273">
        <f t="shared" si="25"/>
        <v>1</v>
      </c>
      <c r="CT60" s="273">
        <f t="shared" si="26"/>
        <v>0.90740740740740744</v>
      </c>
      <c r="CU60" s="273">
        <f t="shared" si="30"/>
        <v>1</v>
      </c>
      <c r="CV60" s="25">
        <f t="shared" si="41"/>
        <v>1</v>
      </c>
    </row>
    <row r="61" spans="1:100" s="274" customFormat="1" ht="86.1" hidden="1" customHeight="1" x14ac:dyDescent="0.2">
      <c r="A61" s="171" t="s">
        <v>10</v>
      </c>
      <c r="B61" s="22" t="s">
        <v>221</v>
      </c>
      <c r="C61" s="22" t="s">
        <v>102</v>
      </c>
      <c r="D61" s="22" t="s">
        <v>68</v>
      </c>
      <c r="E61" s="22" t="s">
        <v>109</v>
      </c>
      <c r="F61" s="22" t="s">
        <v>68</v>
      </c>
      <c r="G61" s="22" t="s">
        <v>131</v>
      </c>
      <c r="H61" s="163" t="s">
        <v>250</v>
      </c>
      <c r="I61" s="90" t="s">
        <v>316</v>
      </c>
      <c r="J61" s="90" t="s">
        <v>348</v>
      </c>
      <c r="K61" s="90" t="s">
        <v>503</v>
      </c>
      <c r="L61" s="22" t="s">
        <v>81</v>
      </c>
      <c r="M61" s="100" t="s">
        <v>88</v>
      </c>
      <c r="N61" s="91" t="s">
        <v>101</v>
      </c>
      <c r="O61" s="94">
        <v>0</v>
      </c>
      <c r="P61" s="94">
        <v>0.7</v>
      </c>
      <c r="Q61" s="94">
        <v>0.5</v>
      </c>
      <c r="R61" s="94">
        <v>0.5</v>
      </c>
      <c r="S61" s="94">
        <v>0.5</v>
      </c>
      <c r="T61" s="22" t="s">
        <v>77</v>
      </c>
      <c r="U61" s="94"/>
      <c r="V61" s="94"/>
      <c r="W61" s="94"/>
      <c r="X61" s="94"/>
      <c r="Y61" s="94"/>
      <c r="Z61" s="94"/>
      <c r="AA61" s="94"/>
      <c r="AB61" s="98"/>
      <c r="AC61" s="26"/>
      <c r="AD61" s="26"/>
      <c r="AE61" s="17"/>
      <c r="AF61" s="17"/>
      <c r="AG61" s="104"/>
      <c r="AH61" s="104"/>
      <c r="AI61" s="133"/>
      <c r="AJ61" s="133"/>
      <c r="AK61" s="133"/>
      <c r="AL61" s="8"/>
      <c r="AM61" s="103" t="s">
        <v>584</v>
      </c>
      <c r="AN61" s="103" t="s">
        <v>584</v>
      </c>
      <c r="AO61" s="109" t="s">
        <v>329</v>
      </c>
      <c r="AP61" s="115" t="s">
        <v>356</v>
      </c>
      <c r="AQ61" s="116" t="s">
        <v>355</v>
      </c>
      <c r="AR61" s="110" t="s">
        <v>9</v>
      </c>
      <c r="AS61" s="110" t="s">
        <v>104</v>
      </c>
      <c r="AT61" s="125">
        <v>0.25</v>
      </c>
      <c r="AU61" s="22" t="s">
        <v>77</v>
      </c>
      <c r="AV61" s="21">
        <v>43466</v>
      </c>
      <c r="AW61" s="21">
        <v>44926</v>
      </c>
      <c r="AX61" s="94">
        <v>0</v>
      </c>
      <c r="AY61" s="94">
        <v>1</v>
      </c>
      <c r="AZ61" s="94">
        <v>1</v>
      </c>
      <c r="BA61" s="94">
        <v>1</v>
      </c>
      <c r="BB61" s="94">
        <v>1</v>
      </c>
      <c r="BC61" s="94">
        <v>0</v>
      </c>
      <c r="BD61" s="94">
        <f>(1/1)</f>
        <v>1</v>
      </c>
      <c r="BE61" s="94">
        <f>(28/28)</f>
        <v>1</v>
      </c>
      <c r="BF61" s="94">
        <f>13/13</f>
        <v>1</v>
      </c>
      <c r="BG61" s="94">
        <f>(12/12)</f>
        <v>1</v>
      </c>
      <c r="BH61" s="94">
        <f>(12/12)</f>
        <v>1</v>
      </c>
      <c r="BI61" s="99">
        <f>5/5</f>
        <v>1</v>
      </c>
      <c r="BJ61" s="98">
        <f>11/11</f>
        <v>1</v>
      </c>
      <c r="BK61" s="208"/>
      <c r="BL61" s="208"/>
      <c r="BM61" s="177"/>
      <c r="BN61" s="177"/>
      <c r="BO61" s="154" t="s">
        <v>424</v>
      </c>
      <c r="BP61" s="154" t="s">
        <v>544</v>
      </c>
      <c r="BQ61" s="212"/>
      <c r="BR61" s="155"/>
      <c r="BS61" s="192"/>
      <c r="BT61" s="57" t="s">
        <v>401</v>
      </c>
      <c r="BU61" s="221"/>
      <c r="BV61" s="221"/>
      <c r="BW61" s="177"/>
      <c r="BX61" s="177"/>
      <c r="BY61" s="315">
        <v>1</v>
      </c>
      <c r="BZ61" s="315">
        <v>1</v>
      </c>
      <c r="CA61" s="192"/>
      <c r="CB61" s="104"/>
      <c r="CC61" s="276"/>
      <c r="CD61" s="21">
        <v>44377</v>
      </c>
      <c r="CE61" s="22" t="str">
        <f t="shared" si="12"/>
        <v>3. Fortale</v>
      </c>
      <c r="CF61" s="22" t="str">
        <f t="shared" si="37"/>
        <v>9. Impulsar acuerdos entre el gobierno y los partidos políticos que permitan construir una mayor cap</v>
      </c>
      <c r="CG61" s="22" t="str">
        <f t="shared" si="38"/>
        <v>9.2 Articular acciones con todo el gabinete.</v>
      </c>
      <c r="CH61" s="22" t="str">
        <f t="shared" si="39"/>
        <v xml:space="preserve">Gestión </v>
      </c>
      <c r="CI61" s="22" t="str">
        <f t="shared" si="40"/>
        <v>Gestión</v>
      </c>
      <c r="CJ61" s="273" t="str">
        <f t="shared" si="17"/>
        <v/>
      </c>
      <c r="CK61" s="273" t="str">
        <f t="shared" si="18"/>
        <v/>
      </c>
      <c r="CL61" s="273">
        <f t="shared" si="35"/>
        <v>0.5</v>
      </c>
      <c r="CM61" s="273">
        <f t="shared" si="36"/>
        <v>0.5</v>
      </c>
      <c r="CN61" s="23"/>
      <c r="CO61" s="273">
        <f t="shared" si="21"/>
        <v>0.63660384774084255</v>
      </c>
      <c r="CP61" s="273">
        <f t="shared" si="22"/>
        <v>0.7442974658112228</v>
      </c>
      <c r="CQ61" s="273">
        <f t="shared" si="23"/>
        <v>0.64067132570944507</v>
      </c>
      <c r="CR61" s="273">
        <f t="shared" si="24"/>
        <v>0.84064702630035204</v>
      </c>
      <c r="CS61" s="273">
        <f t="shared" si="25"/>
        <v>1</v>
      </c>
      <c r="CT61" s="273" t="str">
        <f t="shared" si="26"/>
        <v/>
      </c>
      <c r="CU61" s="273">
        <f t="shared" si="30"/>
        <v>1</v>
      </c>
      <c r="CV61" s="25">
        <f t="shared" si="41"/>
        <v>1</v>
      </c>
    </row>
    <row r="62" spans="1:100" s="274" customFormat="1" ht="144" hidden="1" customHeight="1" x14ac:dyDescent="0.2">
      <c r="A62" s="171" t="s">
        <v>10</v>
      </c>
      <c r="B62" s="22" t="s">
        <v>221</v>
      </c>
      <c r="C62" s="22" t="s">
        <v>102</v>
      </c>
      <c r="D62" s="22" t="s">
        <v>68</v>
      </c>
      <c r="E62" s="22" t="s">
        <v>109</v>
      </c>
      <c r="F62" s="22" t="s">
        <v>68</v>
      </c>
      <c r="G62" s="22" t="s">
        <v>131</v>
      </c>
      <c r="H62" s="163" t="s">
        <v>250</v>
      </c>
      <c r="I62" s="90" t="s">
        <v>317</v>
      </c>
      <c r="J62" s="90" t="s">
        <v>143</v>
      </c>
      <c r="K62" s="90" t="s">
        <v>143</v>
      </c>
      <c r="L62" s="22" t="s">
        <v>81</v>
      </c>
      <c r="M62" s="100" t="s">
        <v>104</v>
      </c>
      <c r="N62" s="91" t="s">
        <v>101</v>
      </c>
      <c r="O62" s="94">
        <v>0</v>
      </c>
      <c r="P62" s="94">
        <v>0.7</v>
      </c>
      <c r="Q62" s="94">
        <v>0.5</v>
      </c>
      <c r="R62" s="94">
        <v>0.5</v>
      </c>
      <c r="S62" s="94">
        <v>0.5</v>
      </c>
      <c r="T62" s="22" t="s">
        <v>77</v>
      </c>
      <c r="U62" s="94">
        <v>0</v>
      </c>
      <c r="V62" s="94">
        <v>0</v>
      </c>
      <c r="W62" s="94">
        <v>0</v>
      </c>
      <c r="X62" s="94">
        <v>0</v>
      </c>
      <c r="Y62" s="94">
        <v>1</v>
      </c>
      <c r="Z62" s="94">
        <v>1</v>
      </c>
      <c r="AA62" s="94">
        <v>0</v>
      </c>
      <c r="AB62" s="98">
        <f>1/1</f>
        <v>1</v>
      </c>
      <c r="AC62" s="176"/>
      <c r="AD62" s="176"/>
      <c r="AE62" s="177"/>
      <c r="AF62" s="177"/>
      <c r="AG62" s="104" t="s">
        <v>453</v>
      </c>
      <c r="AH62" s="104" t="s">
        <v>613</v>
      </c>
      <c r="AI62" s="192"/>
      <c r="AJ62" s="192"/>
      <c r="AK62" s="192"/>
      <c r="AL62" s="194"/>
      <c r="AM62" s="103">
        <v>1.0000100000000001</v>
      </c>
      <c r="AN62" s="103">
        <v>1.0000100000000001</v>
      </c>
      <c r="AO62" s="109" t="s">
        <v>330</v>
      </c>
      <c r="AP62" s="115" t="s">
        <v>358</v>
      </c>
      <c r="AQ62" s="116" t="s">
        <v>357</v>
      </c>
      <c r="AR62" s="110" t="s">
        <v>9</v>
      </c>
      <c r="AS62" s="110" t="s">
        <v>104</v>
      </c>
      <c r="AT62" s="125">
        <v>0.25</v>
      </c>
      <c r="AU62" s="22" t="s">
        <v>77</v>
      </c>
      <c r="AV62" s="21">
        <v>43466</v>
      </c>
      <c r="AW62" s="21">
        <v>44926</v>
      </c>
      <c r="AX62" s="94">
        <v>0</v>
      </c>
      <c r="AY62" s="94">
        <v>1</v>
      </c>
      <c r="AZ62" s="94">
        <v>1</v>
      </c>
      <c r="BA62" s="94">
        <v>1</v>
      </c>
      <c r="BB62" s="94">
        <v>1</v>
      </c>
      <c r="BC62" s="94">
        <v>0</v>
      </c>
      <c r="BD62" s="94">
        <v>0</v>
      </c>
      <c r="BE62" s="94">
        <v>0</v>
      </c>
      <c r="BF62" s="94">
        <f>(1/1)</f>
        <v>1</v>
      </c>
      <c r="BG62" s="94">
        <v>0</v>
      </c>
      <c r="BH62" s="94">
        <f>(1/1)</f>
        <v>1</v>
      </c>
      <c r="BI62" s="94">
        <f>5/5</f>
        <v>1</v>
      </c>
      <c r="BJ62" s="98">
        <f>4/4</f>
        <v>1</v>
      </c>
      <c r="BK62" s="176"/>
      <c r="BL62" s="176"/>
      <c r="BM62" s="177"/>
      <c r="BN62" s="177"/>
      <c r="BO62" s="154" t="s">
        <v>425</v>
      </c>
      <c r="BP62" s="154" t="s">
        <v>545</v>
      </c>
      <c r="BQ62" s="212"/>
      <c r="BR62" s="155"/>
      <c r="BS62" s="192"/>
      <c r="BT62" s="57" t="s">
        <v>401</v>
      </c>
      <c r="BU62" s="221"/>
      <c r="BV62" s="221"/>
      <c r="BW62" s="177"/>
      <c r="BX62" s="177"/>
      <c r="BY62" s="315">
        <v>1</v>
      </c>
      <c r="BZ62" s="315">
        <v>1</v>
      </c>
      <c r="CA62" s="192"/>
      <c r="CB62" s="104"/>
      <c r="CC62" s="298"/>
      <c r="CD62" s="21">
        <v>44377</v>
      </c>
      <c r="CE62" s="22" t="str">
        <f t="shared" si="12"/>
        <v>3. Fortale</v>
      </c>
      <c r="CF62" s="22" t="str">
        <f t="shared" si="37"/>
        <v>10. Tramitar los proyectos anticorrupción a fin de mantener el tema en la agenda pública</v>
      </c>
      <c r="CG62" s="22" t="str">
        <f t="shared" si="38"/>
        <v>10.1 Priorizar las iniciativas del gobierno para ser socializadas con los diversos partidos, de mane</v>
      </c>
      <c r="CH62" s="22" t="str">
        <f t="shared" si="39"/>
        <v xml:space="preserve">Gestión </v>
      </c>
      <c r="CI62" s="22" t="str">
        <f t="shared" si="40"/>
        <v>Gestión</v>
      </c>
      <c r="CJ62" s="273" t="str">
        <f t="shared" si="17"/>
        <v/>
      </c>
      <c r="CK62" s="273">
        <f t="shared" si="18"/>
        <v>0.12500125000000001</v>
      </c>
      <c r="CL62" s="273">
        <f t="shared" si="35"/>
        <v>1</v>
      </c>
      <c r="CM62" s="273">
        <f t="shared" si="36"/>
        <v>1</v>
      </c>
      <c r="CN62" s="23"/>
      <c r="CO62" s="273">
        <f t="shared" si="21"/>
        <v>0.63660384774084255</v>
      </c>
      <c r="CP62" s="273">
        <f t="shared" si="22"/>
        <v>0.7442974658112228</v>
      </c>
      <c r="CQ62" s="273">
        <f t="shared" si="23"/>
        <v>0.64067132570944507</v>
      </c>
      <c r="CR62" s="273">
        <f t="shared" si="24"/>
        <v>0.84064702630035204</v>
      </c>
      <c r="CS62" s="273">
        <f t="shared" si="25"/>
        <v>1</v>
      </c>
      <c r="CT62" s="273">
        <f t="shared" si="26"/>
        <v>1.0000100000000001</v>
      </c>
      <c r="CU62" s="273">
        <f t="shared" si="30"/>
        <v>1</v>
      </c>
      <c r="CV62" s="25">
        <f t="shared" si="41"/>
        <v>1</v>
      </c>
    </row>
    <row r="63" spans="1:100" s="274" customFormat="1" ht="144" hidden="1" customHeight="1" x14ac:dyDescent="0.2">
      <c r="A63" s="172" t="s">
        <v>10</v>
      </c>
      <c r="B63" s="22" t="s">
        <v>219</v>
      </c>
      <c r="C63" s="22" t="s">
        <v>133</v>
      </c>
      <c r="D63" s="22" t="s">
        <v>68</v>
      </c>
      <c r="E63" s="22" t="s">
        <v>68</v>
      </c>
      <c r="F63" s="22" t="s">
        <v>68</v>
      </c>
      <c r="G63" s="22" t="s">
        <v>134</v>
      </c>
      <c r="H63" s="163" t="s">
        <v>250</v>
      </c>
      <c r="I63" s="90" t="s">
        <v>318</v>
      </c>
      <c r="J63" s="90" t="s">
        <v>349</v>
      </c>
      <c r="K63" s="90" t="s">
        <v>164</v>
      </c>
      <c r="L63" s="22" t="s">
        <v>76</v>
      </c>
      <c r="M63" s="100" t="s">
        <v>104</v>
      </c>
      <c r="N63" s="91" t="s">
        <v>101</v>
      </c>
      <c r="O63" s="94">
        <v>0</v>
      </c>
      <c r="P63" s="94">
        <v>1</v>
      </c>
      <c r="Q63" s="94">
        <v>1</v>
      </c>
      <c r="R63" s="94">
        <v>1</v>
      </c>
      <c r="S63" s="94">
        <v>1</v>
      </c>
      <c r="T63" s="22" t="s">
        <v>77</v>
      </c>
      <c r="U63" s="94">
        <v>0</v>
      </c>
      <c r="V63" s="94">
        <v>0</v>
      </c>
      <c r="W63" s="94">
        <v>0</v>
      </c>
      <c r="X63" s="94">
        <f>1/3</f>
        <v>0.33333333333333331</v>
      </c>
      <c r="Y63" s="94">
        <f>3/3</f>
        <v>1</v>
      </c>
      <c r="Z63" s="94">
        <f>3/3</f>
        <v>1</v>
      </c>
      <c r="AA63" s="94">
        <f>24/24</f>
        <v>1</v>
      </c>
      <c r="AB63" s="98"/>
      <c r="AC63" s="176"/>
      <c r="AD63" s="176"/>
      <c r="AE63" s="177"/>
      <c r="AF63" s="177"/>
      <c r="AG63" s="104" t="s">
        <v>505</v>
      </c>
      <c r="AH63" s="104"/>
      <c r="AI63" s="192"/>
      <c r="AJ63" s="192"/>
      <c r="AK63" s="192"/>
      <c r="AL63" s="202"/>
      <c r="AM63" s="103" t="s">
        <v>585</v>
      </c>
      <c r="AN63" s="103">
        <v>1</v>
      </c>
      <c r="AO63" s="109" t="s">
        <v>331</v>
      </c>
      <c r="AP63" s="115" t="s">
        <v>123</v>
      </c>
      <c r="AQ63" s="116" t="s">
        <v>124</v>
      </c>
      <c r="AR63" s="110" t="s">
        <v>8</v>
      </c>
      <c r="AS63" s="110" t="s">
        <v>71</v>
      </c>
      <c r="AT63" s="110" t="s">
        <v>101</v>
      </c>
      <c r="AU63" s="91" t="s">
        <v>72</v>
      </c>
      <c r="AV63" s="21">
        <v>43831</v>
      </c>
      <c r="AW63" s="21">
        <v>43831</v>
      </c>
      <c r="AX63" s="92">
        <v>0</v>
      </c>
      <c r="AY63" s="126">
        <v>6</v>
      </c>
      <c r="AZ63" s="92">
        <v>0</v>
      </c>
      <c r="BA63" s="92">
        <v>0</v>
      </c>
      <c r="BB63" s="126">
        <v>6</v>
      </c>
      <c r="BC63" s="92">
        <v>0</v>
      </c>
      <c r="BD63" s="92">
        <v>0</v>
      </c>
      <c r="BE63" s="92">
        <v>0</v>
      </c>
      <c r="BF63" s="126">
        <v>3</v>
      </c>
      <c r="BG63" s="126">
        <v>3</v>
      </c>
      <c r="BH63" s="126">
        <v>6</v>
      </c>
      <c r="BI63" s="126"/>
      <c r="BJ63" s="98"/>
      <c r="BK63" s="209"/>
      <c r="BL63" s="209"/>
      <c r="BM63" s="210"/>
      <c r="BN63" s="210"/>
      <c r="BO63" s="154" t="s">
        <v>416</v>
      </c>
      <c r="BP63" s="154"/>
      <c r="BQ63" s="212"/>
      <c r="BR63" s="155"/>
      <c r="BS63" s="192"/>
      <c r="BT63" s="20" t="s">
        <v>527</v>
      </c>
      <c r="BU63" s="214"/>
      <c r="BV63" s="214"/>
      <c r="BW63" s="177"/>
      <c r="BX63" s="177"/>
      <c r="BY63" s="315" t="s">
        <v>586</v>
      </c>
      <c r="BZ63" s="315">
        <v>1</v>
      </c>
      <c r="CA63" s="230"/>
      <c r="CB63" s="299"/>
      <c r="CC63" s="298"/>
      <c r="CD63" s="21">
        <v>44377</v>
      </c>
      <c r="CE63" s="22" t="str">
        <f t="shared" si="12"/>
        <v>3. Fortale</v>
      </c>
      <c r="CF63" s="22" t="str">
        <f t="shared" si="37"/>
        <v>11. Implementar políticas públicas y estrategias de articulación entre el Gobierno Nacional y las en</v>
      </c>
      <c r="CG63" s="22" t="str">
        <f t="shared" si="38"/>
        <v>11.1 Elaborar propuestas para actualizar el marco legal y normativo de la descentralización política</v>
      </c>
      <c r="CH63" s="22" t="str">
        <f t="shared" si="39"/>
        <v xml:space="preserve">Producto </v>
      </c>
      <c r="CI63" s="22" t="str">
        <f t="shared" si="40"/>
        <v>Producto</v>
      </c>
      <c r="CJ63" s="273" t="str">
        <f t="shared" si="17"/>
        <v/>
      </c>
      <c r="CK63" s="273">
        <f t="shared" si="18"/>
        <v>0</v>
      </c>
      <c r="CL63" s="273">
        <f t="shared" si="35"/>
        <v>0</v>
      </c>
      <c r="CM63" s="273">
        <f t="shared" si="36"/>
        <v>0.5</v>
      </c>
      <c r="CN63" s="23"/>
      <c r="CO63" s="273" t="str">
        <f t="shared" si="21"/>
        <v/>
      </c>
      <c r="CP63" s="273" t="str">
        <f t="shared" si="22"/>
        <v/>
      </c>
      <c r="CQ63" s="273" t="str">
        <f t="shared" si="23"/>
        <v/>
      </c>
      <c r="CR63" s="273">
        <f t="shared" si="24"/>
        <v>0.84064702630035204</v>
      </c>
      <c r="CS63" s="273" t="str">
        <f t="shared" si="25"/>
        <v/>
      </c>
      <c r="CT63" s="273">
        <f t="shared" si="26"/>
        <v>0</v>
      </c>
      <c r="CU63" s="273" t="str">
        <f t="shared" si="30"/>
        <v/>
      </c>
      <c r="CV63" s="25">
        <f t="shared" si="41"/>
        <v>1</v>
      </c>
    </row>
    <row r="64" spans="1:100" s="274" customFormat="1" ht="86.1" hidden="1" customHeight="1" x14ac:dyDescent="0.2">
      <c r="A64" s="172" t="s">
        <v>10</v>
      </c>
      <c r="B64" s="22" t="s">
        <v>219</v>
      </c>
      <c r="C64" s="22" t="s">
        <v>133</v>
      </c>
      <c r="D64" s="22" t="s">
        <v>68</v>
      </c>
      <c r="E64" s="22" t="s">
        <v>68</v>
      </c>
      <c r="F64" s="22" t="s">
        <v>68</v>
      </c>
      <c r="G64" s="22" t="s">
        <v>134</v>
      </c>
      <c r="H64" s="163" t="s">
        <v>250</v>
      </c>
      <c r="I64" s="90" t="s">
        <v>318</v>
      </c>
      <c r="J64" s="90" t="s">
        <v>349</v>
      </c>
      <c r="K64" s="90" t="s">
        <v>164</v>
      </c>
      <c r="L64" s="22" t="s">
        <v>76</v>
      </c>
      <c r="M64" s="100" t="s">
        <v>104</v>
      </c>
      <c r="N64" s="91" t="s">
        <v>101</v>
      </c>
      <c r="O64" s="94">
        <v>0</v>
      </c>
      <c r="P64" s="94">
        <v>1</v>
      </c>
      <c r="Q64" s="94">
        <v>1</v>
      </c>
      <c r="R64" s="94">
        <v>1</v>
      </c>
      <c r="S64" s="94">
        <v>1</v>
      </c>
      <c r="T64" s="22" t="s">
        <v>77</v>
      </c>
      <c r="U64" s="94"/>
      <c r="V64" s="94"/>
      <c r="W64" s="94"/>
      <c r="X64" s="94"/>
      <c r="Y64" s="94"/>
      <c r="Z64" s="94"/>
      <c r="AA64" s="94"/>
      <c r="AB64" s="98"/>
      <c r="AC64" s="26"/>
      <c r="AD64" s="26"/>
      <c r="AE64" s="17"/>
      <c r="AF64" s="17"/>
      <c r="AG64" s="104"/>
      <c r="AH64" s="104"/>
      <c r="AI64" s="133"/>
      <c r="AJ64" s="133"/>
      <c r="AK64" s="133"/>
      <c r="AL64" s="28"/>
      <c r="AM64" s="103" t="s">
        <v>584</v>
      </c>
      <c r="AN64" s="103" t="s">
        <v>584</v>
      </c>
      <c r="AO64" s="109" t="s">
        <v>363</v>
      </c>
      <c r="AP64" s="115" t="s">
        <v>361</v>
      </c>
      <c r="AQ64" s="116" t="s">
        <v>362</v>
      </c>
      <c r="AR64" s="110" t="s">
        <v>8</v>
      </c>
      <c r="AS64" s="110" t="s">
        <v>104</v>
      </c>
      <c r="AT64" s="110" t="s">
        <v>101</v>
      </c>
      <c r="AU64" s="22" t="s">
        <v>77</v>
      </c>
      <c r="AV64" s="21">
        <v>44197</v>
      </c>
      <c r="AW64" s="127">
        <v>44926</v>
      </c>
      <c r="AX64" s="92">
        <v>0</v>
      </c>
      <c r="AY64" s="92">
        <v>0</v>
      </c>
      <c r="AZ64" s="99">
        <v>1</v>
      </c>
      <c r="BA64" s="99">
        <v>1</v>
      </c>
      <c r="BB64" s="99">
        <v>1</v>
      </c>
      <c r="BC64" s="92">
        <v>0</v>
      </c>
      <c r="BD64" s="92">
        <v>0</v>
      </c>
      <c r="BE64" s="92">
        <v>0</v>
      </c>
      <c r="BF64" s="92">
        <v>0</v>
      </c>
      <c r="BG64" s="92">
        <v>0</v>
      </c>
      <c r="BH64" s="92">
        <v>0</v>
      </c>
      <c r="BI64" s="99">
        <f>3/3</f>
        <v>1</v>
      </c>
      <c r="BJ64" s="98">
        <f>4/4</f>
        <v>1</v>
      </c>
      <c r="BK64" s="208"/>
      <c r="BL64" s="208"/>
      <c r="BM64" s="177"/>
      <c r="BN64" s="177"/>
      <c r="BO64" s="154" t="s">
        <v>506</v>
      </c>
      <c r="BP64" s="154" t="s">
        <v>546</v>
      </c>
      <c r="BQ64" s="212"/>
      <c r="BR64" s="155"/>
      <c r="BS64" s="192"/>
      <c r="BT64" s="20">
        <v>2181395727</v>
      </c>
      <c r="BU64" s="214"/>
      <c r="BV64" s="214"/>
      <c r="BW64" s="177"/>
      <c r="BX64" s="177"/>
      <c r="BY64" s="315">
        <v>1</v>
      </c>
      <c r="BZ64" s="315">
        <v>1</v>
      </c>
      <c r="CA64" s="230"/>
      <c r="CB64" s="299"/>
      <c r="CC64" s="298"/>
      <c r="CD64" s="21">
        <v>44377</v>
      </c>
      <c r="CE64" s="22" t="str">
        <f t="shared" si="12"/>
        <v>3. Fortale</v>
      </c>
      <c r="CF64" s="22"/>
      <c r="CG64" s="22" t="str">
        <f t="shared" si="38"/>
        <v>11.3 Elaborar, socializar y brindar acompañamiento técnico a entidades territoriales y Esquemas asoc</v>
      </c>
      <c r="CH64" s="22"/>
      <c r="CI64" s="22" t="str">
        <f t="shared" si="40"/>
        <v>Producto</v>
      </c>
      <c r="CJ64" s="273" t="str">
        <f t="shared" si="17"/>
        <v/>
      </c>
      <c r="CK64" s="273">
        <f t="shared" si="18"/>
        <v>0</v>
      </c>
      <c r="CL64" s="273">
        <f t="shared" si="35"/>
        <v>0</v>
      </c>
      <c r="CM64" s="273">
        <f t="shared" si="36"/>
        <v>0</v>
      </c>
      <c r="CN64" s="23"/>
      <c r="CO64" s="273">
        <f t="shared" si="21"/>
        <v>0.63660384774084255</v>
      </c>
      <c r="CP64" s="273">
        <f t="shared" si="22"/>
        <v>0.7442974658112228</v>
      </c>
      <c r="CQ64" s="273">
        <f t="shared" si="23"/>
        <v>0.64067132570944507</v>
      </c>
      <c r="CR64" s="273">
        <f t="shared" si="24"/>
        <v>0.84064702630035204</v>
      </c>
      <c r="CS64" s="273" t="str">
        <f t="shared" si="25"/>
        <v/>
      </c>
      <c r="CT64" s="273">
        <f t="shared" si="26"/>
        <v>0</v>
      </c>
      <c r="CU64" s="273">
        <f t="shared" si="30"/>
        <v>1</v>
      </c>
      <c r="CV64" s="25"/>
    </row>
    <row r="65" spans="1:100" s="274" customFormat="1" ht="86.1" hidden="1" customHeight="1" x14ac:dyDescent="0.2">
      <c r="A65" s="172" t="s">
        <v>10</v>
      </c>
      <c r="B65" s="22" t="s">
        <v>219</v>
      </c>
      <c r="C65" s="22" t="s">
        <v>133</v>
      </c>
      <c r="D65" s="22" t="s">
        <v>68</v>
      </c>
      <c r="E65" s="22" t="s">
        <v>68</v>
      </c>
      <c r="F65" s="22" t="s">
        <v>68</v>
      </c>
      <c r="G65" s="22" t="s">
        <v>131</v>
      </c>
      <c r="H65" s="163" t="s">
        <v>250</v>
      </c>
      <c r="I65" s="90" t="s">
        <v>318</v>
      </c>
      <c r="J65" s="90" t="s">
        <v>349</v>
      </c>
      <c r="K65" s="90" t="s">
        <v>164</v>
      </c>
      <c r="L65" s="22" t="s">
        <v>76</v>
      </c>
      <c r="M65" s="100" t="s">
        <v>104</v>
      </c>
      <c r="N65" s="91" t="s">
        <v>101</v>
      </c>
      <c r="O65" s="94">
        <v>0</v>
      </c>
      <c r="P65" s="94">
        <v>1</v>
      </c>
      <c r="Q65" s="94">
        <v>1</v>
      </c>
      <c r="R65" s="94">
        <v>1</v>
      </c>
      <c r="S65" s="94">
        <v>1</v>
      </c>
      <c r="T65" s="22" t="s">
        <v>77</v>
      </c>
      <c r="U65" s="94"/>
      <c r="V65" s="94"/>
      <c r="W65" s="94"/>
      <c r="X65" s="94"/>
      <c r="Y65" s="94"/>
      <c r="Z65" s="94"/>
      <c r="AA65" s="94"/>
      <c r="AB65" s="98"/>
      <c r="AC65" s="26"/>
      <c r="AD65" s="26"/>
      <c r="AE65" s="17"/>
      <c r="AF65" s="17"/>
      <c r="AG65" s="104"/>
      <c r="AH65" s="104"/>
      <c r="AI65" s="133"/>
      <c r="AJ65" s="133"/>
      <c r="AK65" s="133"/>
      <c r="AL65" s="28"/>
      <c r="AM65" s="103" t="s">
        <v>584</v>
      </c>
      <c r="AN65" s="103" t="s">
        <v>584</v>
      </c>
      <c r="AO65" s="109" t="s">
        <v>332</v>
      </c>
      <c r="AP65" s="115" t="s">
        <v>359</v>
      </c>
      <c r="AQ65" s="116" t="s">
        <v>164</v>
      </c>
      <c r="AR65" s="110" t="s">
        <v>8</v>
      </c>
      <c r="AS65" s="110" t="s">
        <v>104</v>
      </c>
      <c r="AT65" s="110" t="s">
        <v>101</v>
      </c>
      <c r="AU65" s="22" t="s">
        <v>77</v>
      </c>
      <c r="AV65" s="21">
        <v>43831</v>
      </c>
      <c r="AW65" s="127">
        <v>44926</v>
      </c>
      <c r="AX65" s="94">
        <v>0</v>
      </c>
      <c r="AY65" s="94">
        <v>1</v>
      </c>
      <c r="AZ65" s="94">
        <v>1</v>
      </c>
      <c r="BA65" s="94">
        <v>1</v>
      </c>
      <c r="BB65" s="94">
        <v>1</v>
      </c>
      <c r="BC65" s="94">
        <v>0</v>
      </c>
      <c r="BD65" s="94">
        <f>1/4</f>
        <v>0.25</v>
      </c>
      <c r="BE65" s="94">
        <f>3/4</f>
        <v>0.75</v>
      </c>
      <c r="BF65" s="94">
        <f>4/4</f>
        <v>1</v>
      </c>
      <c r="BG65" s="94">
        <f>4/4</f>
        <v>1</v>
      </c>
      <c r="BH65" s="94">
        <f>4/4</f>
        <v>1</v>
      </c>
      <c r="BI65" s="98">
        <v>0</v>
      </c>
      <c r="BJ65" s="98">
        <f>(AZ65/4)*2/2</f>
        <v>0.25</v>
      </c>
      <c r="BK65" s="177"/>
      <c r="BL65" s="177"/>
      <c r="BM65" s="177"/>
      <c r="BN65" s="177"/>
      <c r="BO65" s="154" t="s">
        <v>507</v>
      </c>
      <c r="BP65" s="154" t="s">
        <v>614</v>
      </c>
      <c r="BQ65" s="212"/>
      <c r="BR65" s="155"/>
      <c r="BS65" s="192"/>
      <c r="BT65" s="136">
        <v>2800000000</v>
      </c>
      <c r="BU65" s="222"/>
      <c r="BV65" s="222"/>
      <c r="BW65" s="177"/>
      <c r="BX65" s="177"/>
      <c r="BY65" s="315">
        <v>0.25</v>
      </c>
      <c r="BZ65" s="315">
        <v>0.25</v>
      </c>
      <c r="CA65" s="230"/>
      <c r="CB65" s="299"/>
      <c r="CC65" s="298"/>
      <c r="CD65" s="21">
        <v>44377</v>
      </c>
      <c r="CE65" s="22" t="str">
        <f t="shared" si="12"/>
        <v>3. Fortale</v>
      </c>
      <c r="CF65" s="22" t="str">
        <f t="shared" ref="CF65:CF71" si="42">+MID(I65,1,100)</f>
        <v>11. Implementar políticas públicas y estrategias de articulación entre el Gobierno Nacional y las en</v>
      </c>
      <c r="CG65" s="22" t="str">
        <f t="shared" si="38"/>
        <v>11.2 Implementar un mecanismo de relacionamiento con autoridades territoriales y sus organizaciones.</v>
      </c>
      <c r="CH65" s="22" t="str">
        <f t="shared" ref="CH65:CH71" si="43">+IF(OR(L65="Producto",L65="Resultado"),"Producto",L65)</f>
        <v xml:space="preserve">Producto </v>
      </c>
      <c r="CI65" s="22" t="str">
        <f t="shared" si="40"/>
        <v>Producto</v>
      </c>
      <c r="CJ65" s="273" t="str">
        <f t="shared" si="17"/>
        <v/>
      </c>
      <c r="CK65" s="273">
        <f t="shared" si="18"/>
        <v>0</v>
      </c>
      <c r="CL65" s="273">
        <f t="shared" si="35"/>
        <v>0.125</v>
      </c>
      <c r="CM65" s="273">
        <f t="shared" si="36"/>
        <v>0.125</v>
      </c>
      <c r="CN65" s="23"/>
      <c r="CO65" s="273">
        <f t="shared" si="21"/>
        <v>0.63660384774084255</v>
      </c>
      <c r="CP65" s="273">
        <f t="shared" si="22"/>
        <v>0.7442974658112228</v>
      </c>
      <c r="CQ65" s="273">
        <f t="shared" si="23"/>
        <v>0.64067132570944507</v>
      </c>
      <c r="CR65" s="273">
        <f t="shared" si="24"/>
        <v>0.84064702630035204</v>
      </c>
      <c r="CS65" s="273">
        <f t="shared" si="25"/>
        <v>0.25</v>
      </c>
      <c r="CT65" s="273">
        <f t="shared" si="26"/>
        <v>0</v>
      </c>
      <c r="CU65" s="273">
        <f t="shared" si="30"/>
        <v>0.25</v>
      </c>
      <c r="CV65" s="25">
        <f>+IFERROR(IF(CG65&lt;&gt;CG63,IF(OR(BZ65="No aplica, no hay meta",BZ65="No aplica"),"",IF(ISTEXT(BZ65)=TRUE,0,IF(BZ65&gt;1,1.00001,BZ65))),""),0)</f>
        <v>0.25</v>
      </c>
    </row>
    <row r="66" spans="1:100" s="274" customFormat="1" ht="138" hidden="1" customHeight="1" x14ac:dyDescent="0.2">
      <c r="A66" s="173" t="s">
        <v>10</v>
      </c>
      <c r="B66" s="22" t="s">
        <v>620</v>
      </c>
      <c r="C66" s="22" t="s">
        <v>102</v>
      </c>
      <c r="D66" s="22" t="s">
        <v>68</v>
      </c>
      <c r="E66" s="22" t="s">
        <v>109</v>
      </c>
      <c r="F66" s="22" t="s">
        <v>130</v>
      </c>
      <c r="G66" s="22" t="s">
        <v>131</v>
      </c>
      <c r="H66" s="163" t="s">
        <v>251</v>
      </c>
      <c r="I66" s="90" t="s">
        <v>319</v>
      </c>
      <c r="J66" s="90" t="s">
        <v>135</v>
      </c>
      <c r="K66" s="90" t="s">
        <v>208</v>
      </c>
      <c r="L66" s="22" t="s">
        <v>76</v>
      </c>
      <c r="M66" s="100" t="s">
        <v>71</v>
      </c>
      <c r="N66" s="91" t="s">
        <v>101</v>
      </c>
      <c r="O66" s="94">
        <v>0.4</v>
      </c>
      <c r="P66" s="94">
        <v>0.2</v>
      </c>
      <c r="Q66" s="94">
        <v>0.2</v>
      </c>
      <c r="R66" s="94">
        <v>0.2</v>
      </c>
      <c r="S66" s="94">
        <v>1</v>
      </c>
      <c r="T66" s="22" t="s">
        <v>77</v>
      </c>
      <c r="U66" s="94">
        <v>0.4</v>
      </c>
      <c r="V66" s="94">
        <v>0</v>
      </c>
      <c r="W66" s="94">
        <v>0.45</v>
      </c>
      <c r="X66" s="94">
        <v>0.65</v>
      </c>
      <c r="Y66" s="94">
        <v>0.84</v>
      </c>
      <c r="Z66" s="145">
        <v>0.18</v>
      </c>
      <c r="AA66" s="94">
        <v>0.02</v>
      </c>
      <c r="AB66" s="98">
        <v>0.03</v>
      </c>
      <c r="AC66" s="176"/>
      <c r="AD66" s="176"/>
      <c r="AE66" s="177"/>
      <c r="AF66" s="177"/>
      <c r="AG66" s="104" t="s">
        <v>440</v>
      </c>
      <c r="AH66" s="104" t="s">
        <v>561</v>
      </c>
      <c r="AI66" s="192"/>
      <c r="AJ66" s="192"/>
      <c r="AK66" s="192"/>
      <c r="AL66" s="203"/>
      <c r="AM66" s="103">
        <v>0.15</v>
      </c>
      <c r="AN66" s="103">
        <v>0.63000000000000012</v>
      </c>
      <c r="AO66" s="104" t="s">
        <v>333</v>
      </c>
      <c r="AP66" s="115" t="s">
        <v>508</v>
      </c>
      <c r="AQ66" s="116" t="s">
        <v>243</v>
      </c>
      <c r="AR66" s="110" t="s">
        <v>9</v>
      </c>
      <c r="AS66" s="110" t="s">
        <v>104</v>
      </c>
      <c r="AT66" s="110" t="s">
        <v>101</v>
      </c>
      <c r="AU66" s="22" t="s">
        <v>77</v>
      </c>
      <c r="AV66" s="21">
        <v>43466</v>
      </c>
      <c r="AW66" s="21">
        <v>44926</v>
      </c>
      <c r="AX66" s="94">
        <v>1</v>
      </c>
      <c r="AY66" s="94">
        <v>1</v>
      </c>
      <c r="AZ66" s="94">
        <v>1</v>
      </c>
      <c r="BA66" s="94">
        <v>1</v>
      </c>
      <c r="BB66" s="94">
        <v>1</v>
      </c>
      <c r="BC66" s="94">
        <v>1</v>
      </c>
      <c r="BD66" s="94">
        <v>0</v>
      </c>
      <c r="BE66" s="94">
        <v>0.5</v>
      </c>
      <c r="BF66" s="94">
        <v>0.5</v>
      </c>
      <c r="BG66" s="94">
        <v>0</v>
      </c>
      <c r="BH66" s="94">
        <v>0.5</v>
      </c>
      <c r="BI66" s="94">
        <f>(AZ66/4)*(1/1)</f>
        <v>0.25</v>
      </c>
      <c r="BJ66" s="98">
        <v>0.25</v>
      </c>
      <c r="BK66" s="176"/>
      <c r="BL66" s="176"/>
      <c r="BM66" s="177"/>
      <c r="BN66" s="177"/>
      <c r="BO66" s="154" t="s">
        <v>509</v>
      </c>
      <c r="BP66" s="154" t="s">
        <v>562</v>
      </c>
      <c r="BQ66" s="212"/>
      <c r="BR66" s="155"/>
      <c r="BS66" s="192"/>
      <c r="BT66" s="20">
        <v>853989000</v>
      </c>
      <c r="BU66" s="214">
        <v>3</v>
      </c>
      <c r="BV66" s="214"/>
      <c r="BW66" s="177"/>
      <c r="BX66" s="177"/>
      <c r="BY66" s="315">
        <v>0.25</v>
      </c>
      <c r="BZ66" s="315">
        <v>0.25</v>
      </c>
      <c r="CA66" s="230"/>
      <c r="CB66" s="299"/>
      <c r="CC66" s="298"/>
      <c r="CD66" s="21">
        <v>44377</v>
      </c>
      <c r="CE66" s="22" t="str">
        <f t="shared" si="12"/>
        <v>4. Promove</v>
      </c>
      <c r="CF66" s="22" t="str">
        <f t="shared" si="42"/>
        <v>12. Implementación del Plan de Acción Oportuna</v>
      </c>
      <c r="CG66" s="22" t="str">
        <f t="shared" si="38"/>
        <v xml:space="preserve">12.1 Adelantar la Secretaría Técnica de la Comisión Intersectorial para el desarrollo del PAO. </v>
      </c>
      <c r="CH66" s="22" t="str">
        <f t="shared" si="43"/>
        <v xml:space="preserve">Producto </v>
      </c>
      <c r="CI66" s="22" t="str">
        <f t="shared" si="40"/>
        <v>Gestión</v>
      </c>
      <c r="CJ66" s="273">
        <f t="shared" si="17"/>
        <v>4.5454545454545452E-3</v>
      </c>
      <c r="CK66" s="273">
        <f t="shared" si="18"/>
        <v>1.6666666666666666E-2</v>
      </c>
      <c r="CL66" s="273">
        <f t="shared" si="35"/>
        <v>8.3333333333333329E-2</v>
      </c>
      <c r="CM66" s="273">
        <f t="shared" si="36"/>
        <v>8.3333333333333329E-2</v>
      </c>
      <c r="CN66" s="23"/>
      <c r="CO66" s="273">
        <f t="shared" si="21"/>
        <v>0.63660384774084255</v>
      </c>
      <c r="CP66" s="273">
        <f t="shared" si="22"/>
        <v>0.7442974658112228</v>
      </c>
      <c r="CQ66" s="273">
        <f t="shared" si="23"/>
        <v>0.16666666666666666</v>
      </c>
      <c r="CR66" s="273">
        <f t="shared" si="24"/>
        <v>0.27777777777777773</v>
      </c>
      <c r="CS66" s="273">
        <f t="shared" si="25"/>
        <v>0.16666666666666666</v>
      </c>
      <c r="CT66" s="273">
        <f t="shared" si="26"/>
        <v>0.15</v>
      </c>
      <c r="CU66" s="273">
        <f t="shared" si="30"/>
        <v>0.25</v>
      </c>
      <c r="CV66" s="25">
        <f t="shared" si="41"/>
        <v>0.25</v>
      </c>
    </row>
    <row r="67" spans="1:100" s="274" customFormat="1" ht="86.1" hidden="1" customHeight="1" x14ac:dyDescent="0.2">
      <c r="A67" s="173" t="s">
        <v>10</v>
      </c>
      <c r="B67" s="22" t="s">
        <v>620</v>
      </c>
      <c r="C67" s="22" t="s">
        <v>102</v>
      </c>
      <c r="D67" s="22" t="s">
        <v>68</v>
      </c>
      <c r="E67" s="22" t="s">
        <v>109</v>
      </c>
      <c r="F67" s="22" t="s">
        <v>130</v>
      </c>
      <c r="G67" s="22" t="s">
        <v>131</v>
      </c>
      <c r="H67" s="163" t="s">
        <v>251</v>
      </c>
      <c r="I67" s="90" t="s">
        <v>319</v>
      </c>
      <c r="J67" s="90" t="s">
        <v>135</v>
      </c>
      <c r="K67" s="90" t="s">
        <v>208</v>
      </c>
      <c r="L67" s="22" t="s">
        <v>76</v>
      </c>
      <c r="M67" s="100" t="s">
        <v>71</v>
      </c>
      <c r="N67" s="91" t="s">
        <v>101</v>
      </c>
      <c r="O67" s="94">
        <v>0.4</v>
      </c>
      <c r="P67" s="94">
        <v>0.2</v>
      </c>
      <c r="Q67" s="94">
        <v>0.2</v>
      </c>
      <c r="R67" s="94">
        <v>0.2</v>
      </c>
      <c r="S67" s="94">
        <v>1</v>
      </c>
      <c r="T67" s="22" t="s">
        <v>77</v>
      </c>
      <c r="U67" s="94"/>
      <c r="V67" s="94"/>
      <c r="W67" s="94"/>
      <c r="X67" s="94"/>
      <c r="Y67" s="94"/>
      <c r="Z67" s="94"/>
      <c r="AA67" s="94"/>
      <c r="AB67" s="98"/>
      <c r="AC67" s="26"/>
      <c r="AD67" s="26"/>
      <c r="AE67" s="17"/>
      <c r="AF67" s="17"/>
      <c r="AG67" s="104"/>
      <c r="AH67" s="104"/>
      <c r="AI67" s="133"/>
      <c r="AJ67" s="133"/>
      <c r="AK67" s="133"/>
      <c r="AL67" s="28"/>
      <c r="AM67" s="103" t="s">
        <v>584</v>
      </c>
      <c r="AN67" s="103" t="s">
        <v>584</v>
      </c>
      <c r="AO67" s="104" t="s">
        <v>334</v>
      </c>
      <c r="AP67" s="90" t="s">
        <v>510</v>
      </c>
      <c r="AQ67" s="116" t="s">
        <v>511</v>
      </c>
      <c r="AR67" s="22" t="s">
        <v>9</v>
      </c>
      <c r="AS67" s="110" t="s">
        <v>104</v>
      </c>
      <c r="AT67" s="110" t="s">
        <v>101</v>
      </c>
      <c r="AU67" s="22" t="s">
        <v>77</v>
      </c>
      <c r="AV67" s="21">
        <v>43466</v>
      </c>
      <c r="AW67" s="21">
        <v>44926</v>
      </c>
      <c r="AX67" s="94">
        <v>1</v>
      </c>
      <c r="AY67" s="94">
        <v>1</v>
      </c>
      <c r="AZ67" s="94">
        <v>1</v>
      </c>
      <c r="BA67" s="94">
        <v>1</v>
      </c>
      <c r="BB67" s="94">
        <v>1</v>
      </c>
      <c r="BC67" s="94">
        <v>1</v>
      </c>
      <c r="BD67" s="94">
        <v>0</v>
      </c>
      <c r="BE67" s="94">
        <v>0</v>
      </c>
      <c r="BF67" s="94">
        <v>1</v>
      </c>
      <c r="BG67" s="94">
        <v>1</v>
      </c>
      <c r="BH67" s="94">
        <v>1</v>
      </c>
      <c r="BI67" s="94">
        <f>(AZ67/4)*(2/2)</f>
        <v>0.25</v>
      </c>
      <c r="BJ67" s="98">
        <v>0.25</v>
      </c>
      <c r="BK67" s="176"/>
      <c r="BL67" s="176"/>
      <c r="BM67" s="177"/>
      <c r="BN67" s="177"/>
      <c r="BO67" s="154" t="s">
        <v>417</v>
      </c>
      <c r="BP67" s="154" t="s">
        <v>563</v>
      </c>
      <c r="BQ67" s="212"/>
      <c r="BR67" s="155"/>
      <c r="BS67" s="192"/>
      <c r="BT67" s="20">
        <v>51820000</v>
      </c>
      <c r="BU67" s="214"/>
      <c r="BV67" s="214"/>
      <c r="BW67" s="177"/>
      <c r="BX67" s="177"/>
      <c r="BY67" s="315">
        <v>0.25</v>
      </c>
      <c r="BZ67" s="315">
        <v>0.25</v>
      </c>
      <c r="CA67" s="230"/>
      <c r="CB67" s="299"/>
      <c r="CC67" s="298"/>
      <c r="CD67" s="21">
        <v>44377</v>
      </c>
      <c r="CE67" s="22" t="str">
        <f t="shared" si="12"/>
        <v>4. Promove</v>
      </c>
      <c r="CF67" s="22" t="str">
        <f t="shared" si="42"/>
        <v>12. Implementación del Plan de Acción Oportuna</v>
      </c>
      <c r="CG67" s="22" t="str">
        <f t="shared" si="38"/>
        <v>12.2 Apoyar a las entidades territoriales en la formulación y seguimiento a la implementación del pr</v>
      </c>
      <c r="CH67" s="22" t="str">
        <f t="shared" si="43"/>
        <v xml:space="preserve">Producto </v>
      </c>
      <c r="CI67" s="22" t="str">
        <f t="shared" si="40"/>
        <v>Gestión</v>
      </c>
      <c r="CJ67" s="273" t="str">
        <f t="shared" si="17"/>
        <v/>
      </c>
      <c r="CK67" s="273" t="str">
        <f t="shared" si="18"/>
        <v/>
      </c>
      <c r="CL67" s="273">
        <f t="shared" si="35"/>
        <v>8.3333333333333329E-2</v>
      </c>
      <c r="CM67" s="273">
        <f t="shared" si="36"/>
        <v>8.3333333333333329E-2</v>
      </c>
      <c r="CN67" s="23"/>
      <c r="CO67" s="273">
        <f t="shared" si="21"/>
        <v>0.63660384774084255</v>
      </c>
      <c r="CP67" s="273">
        <f t="shared" si="22"/>
        <v>0.7442974658112228</v>
      </c>
      <c r="CQ67" s="273">
        <f t="shared" si="23"/>
        <v>0.16666666666666666</v>
      </c>
      <c r="CR67" s="273">
        <f t="shared" si="24"/>
        <v>0.27777777777777773</v>
      </c>
      <c r="CS67" s="273">
        <f t="shared" si="25"/>
        <v>0.16666666666666666</v>
      </c>
      <c r="CT67" s="273" t="str">
        <f t="shared" si="26"/>
        <v/>
      </c>
      <c r="CU67" s="273">
        <f t="shared" si="30"/>
        <v>0.25</v>
      </c>
      <c r="CV67" s="25">
        <f t="shared" si="41"/>
        <v>0.25</v>
      </c>
    </row>
    <row r="68" spans="1:100" s="274" customFormat="1" ht="86.1" hidden="1" customHeight="1" x14ac:dyDescent="0.2">
      <c r="A68" s="173" t="s">
        <v>10</v>
      </c>
      <c r="B68" s="22" t="s">
        <v>620</v>
      </c>
      <c r="C68" s="22" t="s">
        <v>102</v>
      </c>
      <c r="D68" s="22" t="s">
        <v>68</v>
      </c>
      <c r="E68" s="22" t="s">
        <v>109</v>
      </c>
      <c r="F68" s="22" t="s">
        <v>130</v>
      </c>
      <c r="G68" s="22" t="s">
        <v>131</v>
      </c>
      <c r="H68" s="163" t="s">
        <v>251</v>
      </c>
      <c r="I68" s="90" t="s">
        <v>319</v>
      </c>
      <c r="J68" s="90" t="s">
        <v>135</v>
      </c>
      <c r="K68" s="90" t="s">
        <v>208</v>
      </c>
      <c r="L68" s="22" t="s">
        <v>76</v>
      </c>
      <c r="M68" s="100" t="s">
        <v>71</v>
      </c>
      <c r="N68" s="91" t="s">
        <v>101</v>
      </c>
      <c r="O68" s="94">
        <v>0.4</v>
      </c>
      <c r="P68" s="94">
        <v>0.2</v>
      </c>
      <c r="Q68" s="94">
        <v>0.2</v>
      </c>
      <c r="R68" s="94">
        <v>0.2</v>
      </c>
      <c r="S68" s="94">
        <v>1</v>
      </c>
      <c r="T68" s="22" t="s">
        <v>77</v>
      </c>
      <c r="U68" s="94"/>
      <c r="V68" s="94"/>
      <c r="W68" s="94"/>
      <c r="X68" s="94"/>
      <c r="Y68" s="94"/>
      <c r="Z68" s="94"/>
      <c r="AA68" s="94"/>
      <c r="AB68" s="98"/>
      <c r="AC68" s="26"/>
      <c r="AD68" s="26"/>
      <c r="AE68" s="17"/>
      <c r="AF68" s="17"/>
      <c r="AG68" s="104"/>
      <c r="AH68" s="104"/>
      <c r="AI68" s="133"/>
      <c r="AJ68" s="133"/>
      <c r="AK68" s="133"/>
      <c r="AL68" s="28"/>
      <c r="AM68" s="103" t="s">
        <v>584</v>
      </c>
      <c r="AN68" s="103" t="s">
        <v>584</v>
      </c>
      <c r="AO68" s="104" t="s">
        <v>335</v>
      </c>
      <c r="AP68" s="109" t="s">
        <v>360</v>
      </c>
      <c r="AQ68" s="116" t="s">
        <v>244</v>
      </c>
      <c r="AR68" s="22" t="s">
        <v>9</v>
      </c>
      <c r="AS68" s="110" t="s">
        <v>104</v>
      </c>
      <c r="AT68" s="110" t="s">
        <v>101</v>
      </c>
      <c r="AU68" s="22" t="s">
        <v>77</v>
      </c>
      <c r="AV68" s="21">
        <v>43466</v>
      </c>
      <c r="AW68" s="21">
        <v>44926</v>
      </c>
      <c r="AX68" s="94">
        <v>1</v>
      </c>
      <c r="AY68" s="94">
        <v>1</v>
      </c>
      <c r="AZ68" s="94">
        <v>1</v>
      </c>
      <c r="BA68" s="94">
        <v>1</v>
      </c>
      <c r="BB68" s="94">
        <v>1</v>
      </c>
      <c r="BC68" s="94">
        <v>0</v>
      </c>
      <c r="BD68" s="94">
        <v>0</v>
      </c>
      <c r="BE68" s="94">
        <v>0</v>
      </c>
      <c r="BF68" s="94">
        <v>1</v>
      </c>
      <c r="BG68" s="94">
        <v>1</v>
      </c>
      <c r="BH68" s="94">
        <v>1</v>
      </c>
      <c r="BI68" s="94">
        <v>0</v>
      </c>
      <c r="BJ68" s="98">
        <v>0</v>
      </c>
      <c r="BK68" s="176"/>
      <c r="BL68" s="176"/>
      <c r="BM68" s="177"/>
      <c r="BN68" s="177"/>
      <c r="BO68" s="154" t="s">
        <v>418</v>
      </c>
      <c r="BP68" s="154" t="s">
        <v>564</v>
      </c>
      <c r="BQ68" s="212"/>
      <c r="BR68" s="155"/>
      <c r="BS68" s="192"/>
      <c r="BT68" s="20">
        <v>200000000</v>
      </c>
      <c r="BU68" s="214"/>
      <c r="BV68" s="214"/>
      <c r="BW68" s="177"/>
      <c r="BX68" s="177"/>
      <c r="BY68" s="315">
        <v>0</v>
      </c>
      <c r="BZ68" s="315">
        <v>0.33333333333333331</v>
      </c>
      <c r="CA68" s="230"/>
      <c r="CB68" s="299"/>
      <c r="CC68" s="298"/>
      <c r="CD68" s="21">
        <v>44377</v>
      </c>
      <c r="CE68" s="22" t="str">
        <f t="shared" si="12"/>
        <v>4. Promove</v>
      </c>
      <c r="CF68" s="22" t="str">
        <f t="shared" si="42"/>
        <v>12. Implementación del Plan de Acción Oportuna</v>
      </c>
      <c r="CG68" s="22" t="str">
        <f t="shared" si="38"/>
        <v>12.3 Implementar campaña de activación social de reconocimiento a la labor de defensa de los Derecho</v>
      </c>
      <c r="CH68" s="22" t="str">
        <f t="shared" si="43"/>
        <v xml:space="preserve">Producto </v>
      </c>
      <c r="CI68" s="22" t="str">
        <f t="shared" si="40"/>
        <v>Gestión</v>
      </c>
      <c r="CJ68" s="273" t="str">
        <f t="shared" si="17"/>
        <v/>
      </c>
      <c r="CK68" s="273" t="str">
        <f t="shared" si="18"/>
        <v/>
      </c>
      <c r="CL68" s="273">
        <f t="shared" si="35"/>
        <v>0</v>
      </c>
      <c r="CM68" s="273">
        <f t="shared" si="36"/>
        <v>0.1111111111111111</v>
      </c>
      <c r="CN68" s="23"/>
      <c r="CO68" s="273">
        <f t="shared" si="21"/>
        <v>0.63660384774084255</v>
      </c>
      <c r="CP68" s="273">
        <f t="shared" si="22"/>
        <v>0.7442974658112228</v>
      </c>
      <c r="CQ68" s="273">
        <f t="shared" si="23"/>
        <v>0.16666666666666666</v>
      </c>
      <c r="CR68" s="273">
        <f t="shared" si="24"/>
        <v>0.27777777777777773</v>
      </c>
      <c r="CS68" s="273">
        <f t="shared" si="25"/>
        <v>0.16666666666666666</v>
      </c>
      <c r="CT68" s="273" t="str">
        <f t="shared" si="26"/>
        <v/>
      </c>
      <c r="CU68" s="273">
        <f t="shared" si="30"/>
        <v>0</v>
      </c>
      <c r="CV68" s="25">
        <f t="shared" si="41"/>
        <v>0.33333333333333331</v>
      </c>
    </row>
    <row r="69" spans="1:100" s="274" customFormat="1" ht="86.1" hidden="1" customHeight="1" x14ac:dyDescent="0.2">
      <c r="A69" s="109" t="s">
        <v>10</v>
      </c>
      <c r="B69" s="22" t="s">
        <v>512</v>
      </c>
      <c r="C69" s="22" t="s">
        <v>106</v>
      </c>
      <c r="D69" s="22" t="s">
        <v>68</v>
      </c>
      <c r="E69" s="22" t="s">
        <v>68</v>
      </c>
      <c r="F69" s="22" t="s">
        <v>68</v>
      </c>
      <c r="G69" s="22" t="s">
        <v>131</v>
      </c>
      <c r="H69" s="163" t="s">
        <v>253</v>
      </c>
      <c r="I69" s="90" t="s">
        <v>320</v>
      </c>
      <c r="J69" s="104" t="s">
        <v>224</v>
      </c>
      <c r="K69" s="104" t="s">
        <v>225</v>
      </c>
      <c r="L69" s="104" t="s">
        <v>70</v>
      </c>
      <c r="M69" s="100" t="s">
        <v>88</v>
      </c>
      <c r="N69" s="107">
        <v>73.400000000000006</v>
      </c>
      <c r="O69" s="107">
        <v>73.400000000000006</v>
      </c>
      <c r="P69" s="108">
        <v>78</v>
      </c>
      <c r="Q69" s="108">
        <v>84</v>
      </c>
      <c r="R69" s="108">
        <v>90</v>
      </c>
      <c r="S69" s="108">
        <v>90</v>
      </c>
      <c r="T69" s="22" t="s">
        <v>161</v>
      </c>
      <c r="U69" s="22">
        <v>73.400000000000006</v>
      </c>
      <c r="V69" s="92">
        <v>0</v>
      </c>
      <c r="W69" s="92">
        <v>0</v>
      </c>
      <c r="X69" s="107">
        <v>84.6</v>
      </c>
      <c r="Y69" s="107">
        <v>84.6</v>
      </c>
      <c r="Z69" s="107">
        <v>84.6</v>
      </c>
      <c r="AA69" s="92">
        <v>0</v>
      </c>
      <c r="AB69" s="108">
        <v>88</v>
      </c>
      <c r="AC69" s="182"/>
      <c r="AD69" s="182"/>
      <c r="AE69" s="182"/>
      <c r="AF69" s="182"/>
      <c r="AG69" s="104" t="s">
        <v>513</v>
      </c>
      <c r="AH69" s="104" t="s">
        <v>547</v>
      </c>
      <c r="AI69" s="192"/>
      <c r="AJ69" s="192"/>
      <c r="AK69" s="192"/>
      <c r="AL69" s="202"/>
      <c r="AM69" s="103">
        <v>1.0000100000000001</v>
      </c>
      <c r="AN69" s="103">
        <v>0.94</v>
      </c>
      <c r="AO69" s="109" t="s">
        <v>336</v>
      </c>
      <c r="AP69" s="115" t="s">
        <v>152</v>
      </c>
      <c r="AQ69" s="116" t="s">
        <v>125</v>
      </c>
      <c r="AR69" s="110" t="s">
        <v>75</v>
      </c>
      <c r="AS69" s="110" t="s">
        <v>88</v>
      </c>
      <c r="AT69" s="110" t="s">
        <v>126</v>
      </c>
      <c r="AU69" s="22" t="s">
        <v>77</v>
      </c>
      <c r="AV69" s="21">
        <v>43466</v>
      </c>
      <c r="AW69" s="21">
        <v>44926</v>
      </c>
      <c r="AX69" s="94">
        <v>0.78</v>
      </c>
      <c r="AY69" s="94">
        <v>0.78</v>
      </c>
      <c r="AZ69" s="94">
        <v>0.9</v>
      </c>
      <c r="BA69" s="94">
        <v>0.95</v>
      </c>
      <c r="BB69" s="94">
        <v>0.95</v>
      </c>
      <c r="BC69" s="94">
        <f>354/435</f>
        <v>0.81379310344827582</v>
      </c>
      <c r="BD69" s="94">
        <v>0</v>
      </c>
      <c r="BE69" s="94">
        <v>0</v>
      </c>
      <c r="BF69" s="94">
        <v>0</v>
      </c>
      <c r="BG69" s="94">
        <f>225/274</f>
        <v>0.82116788321167888</v>
      </c>
      <c r="BH69" s="94">
        <f>225/274</f>
        <v>0.82116788321167888</v>
      </c>
      <c r="BI69" s="94">
        <v>0</v>
      </c>
      <c r="BJ69" s="94">
        <v>0</v>
      </c>
      <c r="BK69" s="176"/>
      <c r="BL69" s="176"/>
      <c r="BM69" s="176"/>
      <c r="BN69" s="176"/>
      <c r="BO69" s="154" t="s">
        <v>513</v>
      </c>
      <c r="BP69" s="154" t="s">
        <v>548</v>
      </c>
      <c r="BQ69" s="212"/>
      <c r="BR69" s="155"/>
      <c r="BS69" s="192"/>
      <c r="BT69" s="149">
        <v>1404500000</v>
      </c>
      <c r="BU69" s="214"/>
      <c r="BV69" s="214"/>
      <c r="BW69" s="177"/>
      <c r="BX69" s="177"/>
      <c r="BY69" s="315">
        <v>0</v>
      </c>
      <c r="BZ69" s="315">
        <v>0.86438724548597778</v>
      </c>
      <c r="CA69" s="230"/>
      <c r="CB69" s="299"/>
      <c r="CC69" s="298"/>
      <c r="CD69" s="21">
        <v>44377</v>
      </c>
      <c r="CE69" s="22" t="str">
        <f t="shared" si="12"/>
        <v>6. Fortale</v>
      </c>
      <c r="CF69" s="22" t="str">
        <f t="shared" si="42"/>
        <v>13. Implementar el modelo integrado de planeación y gestión MIPG2.</v>
      </c>
      <c r="CG69" s="22" t="str">
        <f t="shared" si="38"/>
        <v>13.1 Mejoramiento de los resultados FURAG</v>
      </c>
      <c r="CH69" s="22" t="str">
        <f t="shared" si="43"/>
        <v xml:space="preserve">Resultado </v>
      </c>
      <c r="CI69" s="22" t="str">
        <f t="shared" si="40"/>
        <v>Producto</v>
      </c>
      <c r="CJ69" s="273">
        <f t="shared" si="17"/>
        <v>3.0303333333333335E-2</v>
      </c>
      <c r="CK69" s="273">
        <f t="shared" si="18"/>
        <v>9.0910000000000005E-2</v>
      </c>
      <c r="CL69" s="273">
        <f t="shared" si="35"/>
        <v>0</v>
      </c>
      <c r="CM69" s="273">
        <f t="shared" si="36"/>
        <v>0.28812908182865926</v>
      </c>
      <c r="CN69" s="23"/>
      <c r="CO69" s="273">
        <f t="shared" si="21"/>
        <v>0.63660384774084255</v>
      </c>
      <c r="CP69" s="273">
        <f t="shared" si="22"/>
        <v>0.7442974658112228</v>
      </c>
      <c r="CQ69" s="273">
        <f t="shared" si="23"/>
        <v>0.49999999999999994</v>
      </c>
      <c r="CR69" s="273">
        <f t="shared" si="24"/>
        <v>0.88276347803816113</v>
      </c>
      <c r="CS69" s="273">
        <f t="shared" si="25"/>
        <v>0.33333333333333331</v>
      </c>
      <c r="CT69" s="273">
        <f t="shared" si="26"/>
        <v>1.0000100000000001</v>
      </c>
      <c r="CU69" s="273">
        <f t="shared" si="30"/>
        <v>0</v>
      </c>
      <c r="CV69" s="25">
        <f t="shared" si="41"/>
        <v>0.86438724548597778</v>
      </c>
    </row>
    <row r="70" spans="1:100" s="274" customFormat="1" ht="86.1" hidden="1" customHeight="1" x14ac:dyDescent="0.2">
      <c r="A70" s="109" t="s">
        <v>10</v>
      </c>
      <c r="B70" s="22" t="s">
        <v>512</v>
      </c>
      <c r="C70" s="22" t="s">
        <v>106</v>
      </c>
      <c r="D70" s="22" t="s">
        <v>68</v>
      </c>
      <c r="E70" s="22" t="s">
        <v>68</v>
      </c>
      <c r="F70" s="22" t="s">
        <v>68</v>
      </c>
      <c r="G70" s="22" t="s">
        <v>131</v>
      </c>
      <c r="H70" s="163" t="s">
        <v>253</v>
      </c>
      <c r="I70" s="90" t="s">
        <v>320</v>
      </c>
      <c r="J70" s="104" t="s">
        <v>224</v>
      </c>
      <c r="K70" s="104" t="s">
        <v>225</v>
      </c>
      <c r="L70" s="104" t="s">
        <v>70</v>
      </c>
      <c r="M70" s="100" t="s">
        <v>88</v>
      </c>
      <c r="N70" s="107">
        <v>73.400000000000006</v>
      </c>
      <c r="O70" s="107">
        <v>73.400000000000006</v>
      </c>
      <c r="P70" s="108">
        <v>78</v>
      </c>
      <c r="Q70" s="108">
        <v>84</v>
      </c>
      <c r="R70" s="108">
        <v>90</v>
      </c>
      <c r="S70" s="108">
        <v>90</v>
      </c>
      <c r="T70" s="22" t="s">
        <v>161</v>
      </c>
      <c r="U70" s="92"/>
      <c r="V70" s="92"/>
      <c r="W70" s="92"/>
      <c r="X70" s="92"/>
      <c r="Y70" s="92"/>
      <c r="Z70" s="92"/>
      <c r="AA70" s="92"/>
      <c r="AB70" s="108"/>
      <c r="AC70" s="19"/>
      <c r="AD70" s="19"/>
      <c r="AE70" s="128"/>
      <c r="AF70" s="128"/>
      <c r="AG70" s="104"/>
      <c r="AH70" s="104"/>
      <c r="AI70" s="133"/>
      <c r="AJ70" s="133"/>
      <c r="AK70" s="133"/>
      <c r="AL70" s="28"/>
      <c r="AM70" s="103" t="s">
        <v>584</v>
      </c>
      <c r="AN70" s="103" t="s">
        <v>584</v>
      </c>
      <c r="AO70" s="109" t="s">
        <v>337</v>
      </c>
      <c r="AP70" s="109" t="s">
        <v>201</v>
      </c>
      <c r="AQ70" s="90" t="s">
        <v>202</v>
      </c>
      <c r="AR70" s="110" t="s">
        <v>75</v>
      </c>
      <c r="AS70" s="110" t="s">
        <v>104</v>
      </c>
      <c r="AT70" s="110" t="s">
        <v>101</v>
      </c>
      <c r="AU70" s="22" t="s">
        <v>77</v>
      </c>
      <c r="AV70" s="21">
        <v>43466</v>
      </c>
      <c r="AW70" s="21">
        <v>44926</v>
      </c>
      <c r="AX70" s="94">
        <v>1</v>
      </c>
      <c r="AY70" s="94">
        <v>1</v>
      </c>
      <c r="AZ70" s="94">
        <v>1</v>
      </c>
      <c r="BA70" s="94">
        <v>1</v>
      </c>
      <c r="BB70" s="94">
        <v>1</v>
      </c>
      <c r="BC70" s="94">
        <f t="shared" ref="BC70:BE70" si="44">1/1</f>
        <v>1</v>
      </c>
      <c r="BD70" s="94">
        <f t="shared" si="44"/>
        <v>1</v>
      </c>
      <c r="BE70" s="94">
        <f t="shared" si="44"/>
        <v>1</v>
      </c>
      <c r="BF70" s="94">
        <f>(0+0+1+1+1)/5</f>
        <v>0.6</v>
      </c>
      <c r="BG70" s="94">
        <f>9/9</f>
        <v>1</v>
      </c>
      <c r="BH70" s="94">
        <f>9/9</f>
        <v>1</v>
      </c>
      <c r="BI70" s="95">
        <f>1/1</f>
        <v>1</v>
      </c>
      <c r="BJ70" s="95">
        <f>1/1</f>
        <v>1</v>
      </c>
      <c r="BK70" s="190"/>
      <c r="BL70" s="190"/>
      <c r="BM70" s="190"/>
      <c r="BN70" s="190"/>
      <c r="BO70" s="154" t="s">
        <v>441</v>
      </c>
      <c r="BP70" s="154" t="s">
        <v>549</v>
      </c>
      <c r="BQ70" s="212"/>
      <c r="BR70" s="155"/>
      <c r="BS70" s="192"/>
      <c r="BT70" s="16"/>
      <c r="BU70" s="181"/>
      <c r="BV70" s="192"/>
      <c r="BW70" s="177"/>
      <c r="BX70" s="177"/>
      <c r="BY70" s="315">
        <v>1</v>
      </c>
      <c r="BZ70" s="315">
        <v>1</v>
      </c>
      <c r="CA70" s="230"/>
      <c r="CB70" s="299"/>
      <c r="CC70" s="298"/>
      <c r="CD70" s="21">
        <v>44377</v>
      </c>
      <c r="CE70" s="22" t="str">
        <f t="shared" si="12"/>
        <v>6. Fortale</v>
      </c>
      <c r="CF70" s="22" t="str">
        <f t="shared" si="42"/>
        <v>13. Implementar el modelo integrado de planeación y gestión MIPG2.</v>
      </c>
      <c r="CG70" s="22" t="str">
        <f t="shared" si="38"/>
        <v>13.2 Asegurar el seguimiento a los objetivos, metas y compromisos contemplados en los diferentes ins</v>
      </c>
      <c r="CH70" s="22" t="str">
        <f t="shared" si="43"/>
        <v xml:space="preserve">Resultado </v>
      </c>
      <c r="CI70" s="22" t="str">
        <f t="shared" si="40"/>
        <v>Producto</v>
      </c>
      <c r="CJ70" s="273" t="str">
        <f t="shared" si="17"/>
        <v/>
      </c>
      <c r="CK70" s="273" t="str">
        <f t="shared" si="18"/>
        <v/>
      </c>
      <c r="CL70" s="273">
        <f t="shared" si="35"/>
        <v>0.33333333333333331</v>
      </c>
      <c r="CM70" s="273">
        <f t="shared" si="36"/>
        <v>0.33333333333333331</v>
      </c>
      <c r="CN70" s="23"/>
      <c r="CO70" s="273">
        <f t="shared" si="21"/>
        <v>0.63660384774084255</v>
      </c>
      <c r="CP70" s="273">
        <f t="shared" si="22"/>
        <v>0.7442974658112228</v>
      </c>
      <c r="CQ70" s="273">
        <f t="shared" si="23"/>
        <v>0.49999999999999994</v>
      </c>
      <c r="CR70" s="273">
        <f t="shared" si="24"/>
        <v>0.88276347803816113</v>
      </c>
      <c r="CS70" s="273">
        <f t="shared" si="25"/>
        <v>0.33333333333333331</v>
      </c>
      <c r="CT70" s="273" t="str">
        <f t="shared" si="26"/>
        <v/>
      </c>
      <c r="CU70" s="273">
        <f t="shared" si="30"/>
        <v>1</v>
      </c>
      <c r="CV70" s="25">
        <f t="shared" si="41"/>
        <v>1</v>
      </c>
    </row>
    <row r="71" spans="1:100" s="274" customFormat="1" ht="85.5" hidden="1" customHeight="1" thickBot="1" x14ac:dyDescent="0.25">
      <c r="A71" s="109" t="s">
        <v>10</v>
      </c>
      <c r="B71" s="22" t="s">
        <v>512</v>
      </c>
      <c r="C71" s="22" t="s">
        <v>106</v>
      </c>
      <c r="D71" s="22" t="s">
        <v>68</v>
      </c>
      <c r="E71" s="22" t="s">
        <v>68</v>
      </c>
      <c r="F71" s="22" t="s">
        <v>68</v>
      </c>
      <c r="G71" s="22" t="s">
        <v>131</v>
      </c>
      <c r="H71" s="163" t="s">
        <v>253</v>
      </c>
      <c r="I71" s="90" t="s">
        <v>320</v>
      </c>
      <c r="J71" s="104" t="s">
        <v>224</v>
      </c>
      <c r="K71" s="104" t="s">
        <v>225</v>
      </c>
      <c r="L71" s="104" t="s">
        <v>70</v>
      </c>
      <c r="M71" s="100" t="s">
        <v>88</v>
      </c>
      <c r="N71" s="107">
        <v>73.400000000000006</v>
      </c>
      <c r="O71" s="107">
        <v>73.400000000000006</v>
      </c>
      <c r="P71" s="108">
        <v>78</v>
      </c>
      <c r="Q71" s="108">
        <v>84</v>
      </c>
      <c r="R71" s="108">
        <v>90</v>
      </c>
      <c r="S71" s="108">
        <v>90</v>
      </c>
      <c r="T71" s="22" t="s">
        <v>161</v>
      </c>
      <c r="U71" s="92"/>
      <c r="V71" s="92"/>
      <c r="W71" s="92"/>
      <c r="X71" s="92"/>
      <c r="Y71" s="92"/>
      <c r="Z71" s="92"/>
      <c r="AA71" s="92"/>
      <c r="AB71" s="108"/>
      <c r="AC71" s="19"/>
      <c r="AD71" s="19"/>
      <c r="AE71" s="128"/>
      <c r="AF71" s="128"/>
      <c r="AG71" s="104"/>
      <c r="AH71" s="104"/>
      <c r="AI71" s="133"/>
      <c r="AJ71" s="133"/>
      <c r="AK71" s="133"/>
      <c r="AL71" s="28"/>
      <c r="AM71" s="103" t="s">
        <v>584</v>
      </c>
      <c r="AN71" s="103" t="s">
        <v>584</v>
      </c>
      <c r="AO71" s="109" t="s">
        <v>338</v>
      </c>
      <c r="AP71" s="115" t="s">
        <v>127</v>
      </c>
      <c r="AQ71" s="116" t="s">
        <v>163</v>
      </c>
      <c r="AR71" s="110" t="s">
        <v>8</v>
      </c>
      <c r="AS71" s="110" t="s">
        <v>104</v>
      </c>
      <c r="AT71" s="110" t="s">
        <v>101</v>
      </c>
      <c r="AU71" s="22" t="s">
        <v>77</v>
      </c>
      <c r="AV71" s="21">
        <v>43466</v>
      </c>
      <c r="AW71" s="21">
        <v>44926</v>
      </c>
      <c r="AX71" s="94">
        <v>1</v>
      </c>
      <c r="AY71" s="94">
        <v>1</v>
      </c>
      <c r="AZ71" s="94">
        <v>1</v>
      </c>
      <c r="BA71" s="94">
        <v>1</v>
      </c>
      <c r="BB71" s="94">
        <v>1</v>
      </c>
      <c r="BC71" s="95">
        <f>41/41</f>
        <v>1</v>
      </c>
      <c r="BD71" s="95">
        <f>3/110</f>
        <v>2.7272727272727271E-2</v>
      </c>
      <c r="BE71" s="95">
        <f>6/110</f>
        <v>5.4545454545454543E-2</v>
      </c>
      <c r="BF71" s="95">
        <f>48/110</f>
        <v>0.43636363636363634</v>
      </c>
      <c r="BG71" s="95">
        <f>110/110</f>
        <v>1</v>
      </c>
      <c r="BH71" s="95">
        <f>110/110</f>
        <v>1</v>
      </c>
      <c r="BI71" s="103">
        <v>0</v>
      </c>
      <c r="BJ71" s="94">
        <v>0</v>
      </c>
      <c r="BK71" s="211"/>
      <c r="BL71" s="211"/>
      <c r="BM71" s="176"/>
      <c r="BN71" s="176"/>
      <c r="BO71" s="154" t="s">
        <v>442</v>
      </c>
      <c r="BP71" s="154" t="s">
        <v>550</v>
      </c>
      <c r="BQ71" s="212"/>
      <c r="BR71" s="155"/>
      <c r="BS71" s="212"/>
      <c r="BT71" s="149">
        <v>531500000</v>
      </c>
      <c r="BU71" s="226"/>
      <c r="BV71" s="223"/>
      <c r="BW71" s="177"/>
      <c r="BX71" s="177"/>
      <c r="BY71" s="315">
        <v>0</v>
      </c>
      <c r="BZ71" s="315">
        <v>0.66666666666666663</v>
      </c>
      <c r="CA71" s="192"/>
      <c r="CB71" s="104"/>
      <c r="CC71" s="298"/>
      <c r="CD71" s="21">
        <v>44377</v>
      </c>
      <c r="CE71" s="22" t="str">
        <f t="shared" si="12"/>
        <v>6. Fortale</v>
      </c>
      <c r="CF71" s="22" t="str">
        <f t="shared" si="42"/>
        <v>13. Implementar el modelo integrado de planeación y gestión MIPG2.</v>
      </c>
      <c r="CG71" s="22" t="str">
        <f t="shared" si="38"/>
        <v>13.3 Fortalecimiento del sistema integrado de gestión en el marco de la política y simplificación de</v>
      </c>
      <c r="CH71" s="22" t="str">
        <f t="shared" si="43"/>
        <v xml:space="preserve">Resultado </v>
      </c>
      <c r="CI71" s="22" t="str">
        <f t="shared" si="40"/>
        <v>Producto</v>
      </c>
      <c r="CJ71" s="273" t="str">
        <f t="shared" si="17"/>
        <v/>
      </c>
      <c r="CK71" s="273" t="str">
        <f t="shared" si="18"/>
        <v/>
      </c>
      <c r="CL71" s="273">
        <f t="shared" si="35"/>
        <v>0</v>
      </c>
      <c r="CM71" s="273">
        <f t="shared" si="36"/>
        <v>0.22222222222222221</v>
      </c>
      <c r="CN71" s="23"/>
      <c r="CO71" s="273">
        <f t="shared" si="21"/>
        <v>0.63660384774084255</v>
      </c>
      <c r="CP71" s="273">
        <f t="shared" si="22"/>
        <v>0.7442974658112228</v>
      </c>
      <c r="CQ71" s="273">
        <f t="shared" si="23"/>
        <v>0.49999999999999994</v>
      </c>
      <c r="CR71" s="273">
        <f t="shared" si="24"/>
        <v>0.88276347803816113</v>
      </c>
      <c r="CS71" s="273">
        <f t="shared" si="25"/>
        <v>0.33333333333333331</v>
      </c>
      <c r="CT71" s="273" t="str">
        <f t="shared" si="26"/>
        <v/>
      </c>
      <c r="CU71" s="273">
        <f t="shared" si="30"/>
        <v>0</v>
      </c>
      <c r="CV71" s="29">
        <f t="shared" si="41"/>
        <v>0.66666666666666663</v>
      </c>
    </row>
    <row r="72" spans="1:100" x14ac:dyDescent="0.2">
      <c r="O72" s="300"/>
      <c r="P72" s="300"/>
      <c r="Q72" s="300"/>
      <c r="R72" s="300"/>
      <c r="S72" s="300"/>
      <c r="T72" s="300"/>
      <c r="U72" s="300"/>
      <c r="V72" s="300"/>
      <c r="W72" s="300"/>
      <c r="X72" s="300"/>
      <c r="Y72" s="300"/>
      <c r="Z72" s="300"/>
      <c r="AA72" s="300"/>
      <c r="AB72" s="300"/>
      <c r="AC72" s="300"/>
      <c r="AD72" s="300"/>
      <c r="AE72" s="300"/>
      <c r="AF72" s="300"/>
      <c r="AG72" s="301"/>
      <c r="AH72" s="301"/>
      <c r="AI72" s="301"/>
      <c r="AJ72" s="301"/>
      <c r="AK72" s="301"/>
      <c r="AL72" s="302"/>
      <c r="AQ72" s="303"/>
      <c r="AR72" s="304"/>
      <c r="AS72" s="304"/>
      <c r="AT72" s="304"/>
      <c r="AU72" s="304"/>
      <c r="AV72" s="305"/>
      <c r="AW72" s="305"/>
      <c r="AX72" s="304"/>
      <c r="AY72" s="304"/>
      <c r="AZ72" s="304"/>
      <c r="BA72" s="304"/>
      <c r="BB72" s="304"/>
      <c r="BC72" s="304"/>
      <c r="BD72" s="304"/>
      <c r="BE72" s="304"/>
      <c r="BF72" s="304"/>
      <c r="BG72" s="304"/>
      <c r="BH72" s="304"/>
      <c r="BI72" s="304"/>
      <c r="BJ72" s="304"/>
      <c r="BK72" s="304"/>
      <c r="BL72" s="304"/>
      <c r="BM72" s="304"/>
      <c r="BN72" s="304"/>
      <c r="BO72" s="306"/>
      <c r="BP72" s="306"/>
      <c r="BQ72" s="306"/>
      <c r="BR72" s="306"/>
      <c r="BS72" s="306"/>
      <c r="BT72" s="304"/>
    </row>
  </sheetData>
  <autoFilter ref="A7:CW71" xr:uid="{00000000-0001-0000-0100-000000000000}">
    <filterColumn colId="0">
      <filters>
        <filter val="Dirección Nacional de Bomberos"/>
      </filters>
    </filterColumn>
  </autoFilter>
  <mergeCells count="76">
    <mergeCell ref="U5:AF5"/>
    <mergeCell ref="BC5:BN5"/>
    <mergeCell ref="CR4:CR6"/>
    <mergeCell ref="BY4:BY6"/>
    <mergeCell ref="BZ4:BZ6"/>
    <mergeCell ref="CA4:CA6"/>
    <mergeCell ref="BS5:BS6"/>
    <mergeCell ref="BT5:BT6"/>
    <mergeCell ref="BU5:BU6"/>
    <mergeCell ref="BV5:BV6"/>
    <mergeCell ref="BW5:BW6"/>
    <mergeCell ref="BX5:BX6"/>
    <mergeCell ref="BC4:BX4"/>
    <mergeCell ref="BP5:BP6"/>
    <mergeCell ref="BQ5:BQ6"/>
    <mergeCell ref="BR5:BR6"/>
    <mergeCell ref="CS4:CS6"/>
    <mergeCell ref="CT4:CT6"/>
    <mergeCell ref="CU4:CU6"/>
    <mergeCell ref="CE4:CE6"/>
    <mergeCell ref="CD4:CD5"/>
    <mergeCell ref="CO4:CO6"/>
    <mergeCell ref="CP4:CP6"/>
    <mergeCell ref="CQ4:CQ6"/>
    <mergeCell ref="CI4:CI6"/>
    <mergeCell ref="CH4:CH6"/>
    <mergeCell ref="CG4:CG6"/>
    <mergeCell ref="CF4:CF6"/>
    <mergeCell ref="CJ4:CJ6"/>
    <mergeCell ref="CK4:CK6"/>
    <mergeCell ref="CL4:CL6"/>
    <mergeCell ref="CM4:CM6"/>
    <mergeCell ref="O5:R5"/>
    <mergeCell ref="AL5:AL6"/>
    <mergeCell ref="AM4:AM6"/>
    <mergeCell ref="AO5:AO6"/>
    <mergeCell ref="AP5:AP6"/>
    <mergeCell ref="U4:AL4"/>
    <mergeCell ref="AN4:AN6"/>
    <mergeCell ref="AO4:BB4"/>
    <mergeCell ref="AR5:AR6"/>
    <mergeCell ref="AS5:AS6"/>
    <mergeCell ref="AT5:AT6"/>
    <mergeCell ref="AU5:AU6"/>
    <mergeCell ref="AV5:AV6"/>
    <mergeCell ref="AX5:BB5"/>
    <mergeCell ref="AG5:AG6"/>
    <mergeCell ref="AH5:AH6"/>
    <mergeCell ref="A4:B4"/>
    <mergeCell ref="A5:A6"/>
    <mergeCell ref="B5:B6"/>
    <mergeCell ref="C5:C6"/>
    <mergeCell ref="D5:D6"/>
    <mergeCell ref="G5:G6"/>
    <mergeCell ref="H5:H6"/>
    <mergeCell ref="C4:H4"/>
    <mergeCell ref="I4:T4"/>
    <mergeCell ref="E3:F3"/>
    <mergeCell ref="E5:E6"/>
    <mergeCell ref="F5:F6"/>
    <mergeCell ref="A3:C3"/>
    <mergeCell ref="N5:N6"/>
    <mergeCell ref="S5:S6"/>
    <mergeCell ref="T5:T6"/>
    <mergeCell ref="I5:I6"/>
    <mergeCell ref="J5:J6"/>
    <mergeCell ref="K5:K6"/>
    <mergeCell ref="L5:L6"/>
    <mergeCell ref="M5:M6"/>
    <mergeCell ref="CB5:CB6"/>
    <mergeCell ref="AI5:AI6"/>
    <mergeCell ref="AJ5:AJ6"/>
    <mergeCell ref="AK5:AK6"/>
    <mergeCell ref="BO5:BO6"/>
    <mergeCell ref="AW5:AW6"/>
    <mergeCell ref="AQ5:AQ6"/>
  </mergeCells>
  <phoneticPr fontId="13" type="noConversion"/>
  <conditionalFormatting sqref="CV8">
    <cfRule type="containsText" dxfId="58" priority="326" operator="containsText" text="a">
      <formula>NOT(ISERROR(SEARCH("a",CV8)))</formula>
    </cfRule>
    <cfRule type="containsBlanks" dxfId="57" priority="327">
      <formula>LEN(TRIM(CV8))=0</formula>
    </cfRule>
    <cfRule type="cellIs" dxfId="56" priority="328" operator="greaterThan">
      <formula>1</formula>
    </cfRule>
    <cfRule type="cellIs" dxfId="55" priority="329" operator="between">
      <formula>0.9</formula>
      <formula>1</formula>
    </cfRule>
    <cfRule type="cellIs" dxfId="54" priority="330" operator="between">
      <formula>0.7</formula>
      <formula>0.9</formula>
    </cfRule>
    <cfRule type="cellIs" dxfId="53" priority="331" operator="between">
      <formula>0</formula>
      <formula>0.7</formula>
    </cfRule>
  </conditionalFormatting>
  <conditionalFormatting sqref="CV8">
    <cfRule type="containsText" dxfId="52" priority="314" operator="containsText" text="a">
      <formula>NOT(ISERROR(SEARCH("a",CV8)))</formula>
    </cfRule>
    <cfRule type="containsBlanks" dxfId="51" priority="315">
      <formula>LEN(TRIM(CV8))=0</formula>
    </cfRule>
    <cfRule type="cellIs" dxfId="50" priority="316" operator="greaterThan">
      <formula>1</formula>
    </cfRule>
    <cfRule type="cellIs" dxfId="49" priority="317" operator="between">
      <formula>0.9</formula>
      <formula>1</formula>
    </cfRule>
    <cfRule type="cellIs" dxfId="48" priority="318" operator="between">
      <formula>0.7</formula>
      <formula>0.9</formula>
    </cfRule>
    <cfRule type="cellIs" dxfId="47" priority="319" operator="between">
      <formula>0</formula>
      <formula>0.7</formula>
    </cfRule>
  </conditionalFormatting>
  <conditionalFormatting sqref="CV9:CV61">
    <cfRule type="containsText" dxfId="46" priority="348" operator="containsText" text="a">
      <formula>NOT(ISERROR(SEARCH("a",CV9)))</formula>
    </cfRule>
    <cfRule type="containsBlanks" dxfId="45" priority="349">
      <formula>LEN(TRIM(CV9))=0</formula>
    </cfRule>
    <cfRule type="cellIs" dxfId="44" priority="350" operator="greaterThan">
      <formula>1</formula>
    </cfRule>
    <cfRule type="cellIs" dxfId="43" priority="351" operator="between">
      <formula>0.9</formula>
      <formula>1</formula>
    </cfRule>
    <cfRule type="cellIs" dxfId="42" priority="352" operator="between">
      <formula>0.7</formula>
      <formula>0.9</formula>
    </cfRule>
    <cfRule type="cellIs" dxfId="41" priority="353" operator="between">
      <formula>0</formula>
      <formula>0.7</formula>
    </cfRule>
  </conditionalFormatting>
  <conditionalFormatting sqref="AO1">
    <cfRule type="duplicateValues" dxfId="40" priority="340"/>
  </conditionalFormatting>
  <conditionalFormatting sqref="I1">
    <cfRule type="duplicateValues" dxfId="39" priority="339"/>
  </conditionalFormatting>
  <conditionalFormatting sqref="J1">
    <cfRule type="duplicateValues" dxfId="38" priority="338"/>
  </conditionalFormatting>
  <conditionalFormatting sqref="AO1">
    <cfRule type="duplicateValues" dxfId="37" priority="337"/>
  </conditionalFormatting>
  <conditionalFormatting sqref="CV62:CV71">
    <cfRule type="containsText" dxfId="36" priority="302" operator="containsText" text="a">
      <formula>NOT(ISERROR(SEARCH("a",CV62)))</formula>
    </cfRule>
    <cfRule type="containsBlanks" dxfId="35" priority="303">
      <formula>LEN(TRIM(CV62))=0</formula>
    </cfRule>
    <cfRule type="cellIs" dxfId="34" priority="304" operator="greaterThan">
      <formula>1</formula>
    </cfRule>
    <cfRule type="cellIs" dxfId="33" priority="305" operator="between">
      <formula>0.9</formula>
      <formula>1</formula>
    </cfRule>
    <cfRule type="cellIs" dxfId="32" priority="306" operator="between">
      <formula>0.7</formula>
      <formula>0.9</formula>
    </cfRule>
    <cfRule type="cellIs" dxfId="31" priority="307" operator="between">
      <formula>0</formula>
      <formula>0.7</formula>
    </cfRule>
  </conditionalFormatting>
  <conditionalFormatting sqref="AM8:AM71">
    <cfRule type="cellIs" dxfId="30" priority="273" operator="greaterThan">
      <formula>1</formula>
    </cfRule>
    <cfRule type="cellIs" dxfId="29" priority="274" operator="between">
      <formula>0.751</formula>
      <formula>1</formula>
    </cfRule>
    <cfRule type="cellIs" dxfId="28" priority="275" operator="between">
      <formula>0.51</formula>
      <formula>0.75</formula>
    </cfRule>
    <cfRule type="cellIs" dxfId="27" priority="276" operator="between">
      <formula>0.26</formula>
      <formula>0.59</formula>
    </cfRule>
    <cfRule type="cellIs" dxfId="26" priority="277" operator="between">
      <formula>0</formula>
      <formula>0.25</formula>
    </cfRule>
  </conditionalFormatting>
  <conditionalFormatting sqref="CK8:CM71 CO8:CU71 AN8:AN71 BY8:BZ71">
    <cfRule type="cellIs" dxfId="25" priority="264" operator="greaterThan">
      <formula>1</formula>
    </cfRule>
    <cfRule type="cellIs" dxfId="24" priority="265" operator="between">
      <formula>0.76</formula>
      <formula>1</formula>
    </cfRule>
    <cfRule type="cellIs" dxfId="23" priority="266" operator="between">
      <formula>0.51</formula>
      <formula>0.75</formula>
    </cfRule>
    <cfRule type="cellIs" dxfId="22" priority="267" operator="between">
      <formula>0.26</formula>
      <formula>0.59</formula>
    </cfRule>
    <cfRule type="cellIs" dxfId="21" priority="268" operator="between">
      <formula>0</formula>
      <formula>0.25</formula>
    </cfRule>
  </conditionalFormatting>
  <conditionalFormatting sqref="A1:H1">
    <cfRule type="duplicateValues" dxfId="20" priority="354"/>
    <cfRule type="duplicateValues" dxfId="19" priority="355"/>
  </conditionalFormatting>
  <conditionalFormatting sqref="I1">
    <cfRule type="duplicateValues" dxfId="18" priority="356"/>
  </conditionalFormatting>
  <conditionalFormatting sqref="J1">
    <cfRule type="duplicateValues" dxfId="17" priority="357"/>
  </conditionalFormatting>
  <conditionalFormatting sqref="AO1">
    <cfRule type="duplicateValues" dxfId="16" priority="358"/>
  </conditionalFormatting>
  <conditionalFormatting sqref="K1">
    <cfRule type="duplicateValues" dxfId="15" priority="359"/>
  </conditionalFormatting>
  <conditionalFormatting sqref="N1:R1">
    <cfRule type="duplicateValues" dxfId="14" priority="360"/>
  </conditionalFormatting>
  <conditionalFormatting sqref="CJ8:CJ71">
    <cfRule type="cellIs" dxfId="13" priority="168" operator="greaterThan">
      <formula>1</formula>
    </cfRule>
    <cfRule type="cellIs" dxfId="12" priority="169" operator="between">
      <formula>0.76</formula>
      <formula>1</formula>
    </cfRule>
    <cfRule type="cellIs" dxfId="11" priority="170" operator="between">
      <formula>0.51</formula>
      <formula>0.75</formula>
    </cfRule>
    <cfRule type="cellIs" dxfId="10" priority="171" operator="between">
      <formula>0.26</formula>
      <formula>0.5</formula>
    </cfRule>
    <cfRule type="cellIs" dxfId="9" priority="172" operator="between">
      <formula>0</formula>
      <formula>0.25</formula>
    </cfRule>
  </conditionalFormatting>
  <conditionalFormatting sqref="AN1:AN1048576">
    <cfRule type="containsText" dxfId="8" priority="1" operator="containsText" text="No requiere reporte">
      <formula>NOT(ISERROR(SEARCH("No requiere reporte",AN1)))</formula>
    </cfRule>
  </conditionalFormatting>
  <dataValidations count="15">
    <dataValidation type="textLength" operator="lessThanOrEqual" allowBlank="1" showInputMessage="1" showErrorMessage="1" error="Máximo 350 Caracteres" sqref="AG40:AL42" xr:uid="{00000000-0002-0000-0100-000000000000}">
      <formula1>350</formula1>
    </dataValidation>
    <dataValidation type="date" allowBlank="1" showErrorMessage="1" sqref="AW48:AW50 AV61:AW62 AV66:AW71" xr:uid="{00000000-0002-0000-0100-000001000000}">
      <formula1>43831</formula1>
      <formula2>44196</formula2>
    </dataValidation>
    <dataValidation type="list" allowBlank="1" showErrorMessage="1" sqref="M48:M50 AS48:AS50" xr:uid="{00000000-0002-0000-0100-000002000000}">
      <formula1>"Mantenimiento,Flujo,Acumulado,Capacidad,Reducción"</formula1>
    </dataValidation>
    <dataValidation type="textLength" operator="lessThanOrEqual" allowBlank="1" showInputMessage="1" showErrorMessage="1" error="Máximo 350 caracteres" sqref="CA26:CB38 BO40:BS41 CA49:CB50 CA55:CB57 CA52:CB53 CA45:CB47 BS26:BS31 AL53 BS53 CA40:CB42" xr:uid="{00000000-0002-0000-0100-000003000000}">
      <formula1>350</formula1>
    </dataValidation>
    <dataValidation type="date" allowBlank="1" showInputMessage="1" showErrorMessage="1" sqref="AV47:AV51 AV53 AV32:AV43 AV14 AW9:AW13 AV63:AW63 AV65 AV60:AW60 AV56:AV57 AW51:AW57 AW26:AW42 AV16:AW25 AV26:AV29" xr:uid="{00000000-0002-0000-0100-000004000000}">
      <formula1>43831</formula1>
      <formula2>44196</formula2>
    </dataValidation>
    <dataValidation type="list" allowBlank="1" showInputMessage="1" showErrorMessage="1" sqref="M47 AS44 AS47 M51:M71 AS51:AS71 M8:M45 AS8:AS42" xr:uid="{00000000-0002-0000-0100-000005000000}">
      <formula1>"Mantenimiento,Flujo,Acumulado,Capacidad,Reducción"</formula1>
    </dataValidation>
    <dataValidation type="textLength" allowBlank="1" showInputMessage="1" showErrorMessage="1" sqref="AL59:AL60 AG53:AK53 BO59:BS59 BO53:BR53" xr:uid="{00000000-0002-0000-0100-000006000000}">
      <formula1>1</formula1>
      <formula2>350</formula2>
    </dataValidation>
    <dataValidation allowBlank="1" showErrorMessage="1" sqref="A3" xr:uid="{00000000-0002-0000-0100-000007000000}"/>
    <dataValidation type="custom" allowBlank="1" showErrorMessage="1" sqref="AG70:AK71" xr:uid="{00000000-0002-0000-0100-000008000000}">
      <formula1>AND(GTE(LEN(AG70),MIN((1),(350))),LTE(LEN(AG70),MAX((1),(350))))</formula1>
    </dataValidation>
    <dataValidation type="date" allowBlank="1" showInputMessage="1" showErrorMessage="1" sqref="AV8:AW8 AV9:AV13 AV58:AV59" xr:uid="{00000000-0002-0000-0100-000009000000}">
      <formula1>43466</formula1>
      <formula2>44926</formula2>
    </dataValidation>
    <dataValidation type="date" allowBlank="1" showInputMessage="1" showErrorMessage="1" sqref="AV52 AV54:AV55 AV64 AV31 AV15:AW15" xr:uid="{00000000-0002-0000-0100-00000A000000}">
      <formula1>44197</formula1>
      <formula2>44561</formula2>
    </dataValidation>
    <dataValidation type="date" allowBlank="1" showInputMessage="1" showErrorMessage="1" sqref="AW14" xr:uid="{00000000-0002-0000-0100-00000B000000}">
      <formula1>43831</formula1>
      <formula2>44926</formula2>
    </dataValidation>
    <dataValidation type="textLength" allowBlank="1" showInputMessage="1" showErrorMessage="1" sqref="CA71:CB71 BO52:BS52 BO69:BR71 BT57 AG56:AK57 BV70 BS71 AG52:AL52 AG69:AK69 BO56:BR57" xr:uid="{00000000-0002-0000-0100-00000C000000}">
      <formula1>0</formula1>
      <formula2>350</formula2>
    </dataValidation>
    <dataValidation type="date" allowBlank="1" showInputMessage="1" showErrorMessage="1" sqref="AV30 AW58:AW59" xr:uid="{00000000-0002-0000-0100-00000D000000}">
      <formula1>44562</formula1>
      <formula2>44926</formula2>
    </dataValidation>
    <dataValidation type="custom" allowBlank="1" showInputMessage="1" showErrorMessage="1" prompt="Máximo 350 caracteres" sqref="BO45:BR45" xr:uid="{00000000-0002-0000-0100-00000E000000}">
      <formula1>LTE(LEN(BO45),(800))</formula1>
    </dataValidation>
  </dataValidations>
  <pageMargins left="0.7" right="0.7" top="0.75" bottom="0.75" header="0.3" footer="0.3"/>
  <pageSetup paperSize="9" orientation="portrait" r:id="rId1"/>
  <ignoredErrors>
    <ignoredError sqref="BI40:BI41 Z56:AA56 AA57 BC17:BI17" unlockedFormula="1"/>
  </ignoredErrors>
  <extLst>
    <ext xmlns:x14="http://schemas.microsoft.com/office/spreadsheetml/2009/9/main" uri="{78C0D931-6437-407d-A8EE-F0AAD7539E65}">
      <x14:conditionalFormattings>
        <x14:conditionalFormatting xmlns:xm="http://schemas.microsoft.com/office/excel/2006/main">
          <x14:cfRule type="containsText" priority="269" operator="containsText" id="{05F333EA-8525-4F47-8076-3FDFEB80F205}">
            <xm:f>NOT(ISERROR(SEARCH("No aplica",AM8)))</xm:f>
            <xm:f>"No aplica"</xm:f>
            <x14:dxf>
              <font>
                <color theme="0"/>
              </font>
              <fill>
                <patternFill patternType="solid">
                  <bgColor rgb="FF0070C0"/>
                </patternFill>
              </fill>
            </x14:dxf>
          </x14:cfRule>
          <x14:cfRule type="containsText" priority="270" operator="containsText" id="{4B37EFA2-8211-475C-B105-DDEEC7BA9812}">
            <xm:f>NOT(ISERROR(SEARCH("No requiere reporte",AM8)))</xm:f>
            <xm:f>"No requiere reporte"</xm:f>
            <x14:dxf>
              <font>
                <color theme="0"/>
              </font>
              <fill>
                <patternFill>
                  <bgColor theme="8" tint="-0.24994659260841701"/>
                </patternFill>
              </fill>
            </x14:dxf>
          </x14:cfRule>
          <x14:cfRule type="containsText" priority="271" operator="containsText" id="{FC8E05CD-5AAD-47C6-89AD-5B7E5369F0AF}">
            <xm:f>NOT(ISERROR(SEARCH("No se reportó avance",AM8)))</xm:f>
            <xm:f>"No se reportó avance"</xm:f>
            <x14:dxf>
              <font>
                <color theme="0"/>
              </font>
              <fill>
                <patternFill>
                  <bgColor rgb="FF0070C0"/>
                </patternFill>
              </fill>
            </x14:dxf>
          </x14:cfRule>
          <x14:cfRule type="containsText" priority="272" operator="containsText" id="{E3F7FB72-8A77-4EF0-A709-4AA5F1245BB2}">
            <xm:f>NOT(ISERROR(SEARCH("Revisar fórmula",AM8)))</xm:f>
            <xm:f>"Revisar fórmula"</xm:f>
            <x14:dxf>
              <font>
                <color theme="0"/>
              </font>
              <fill>
                <patternFill>
                  <bgColor rgb="FF0070C0"/>
                </patternFill>
              </fill>
            </x14:dxf>
          </x14:cfRule>
          <xm:sqref>CK8:CM71 CO8:CU71 AM8:AN71 BY8:BZ71</xm:sqref>
        </x14:conditionalFormatting>
        <x14:conditionalFormatting xmlns:xm="http://schemas.microsoft.com/office/excel/2006/main">
          <x14:cfRule type="containsText" priority="164" operator="containsText" id="{A238F549-7615-42F2-9268-0B6B466B4BB2}">
            <xm:f>NOT(ISERROR(SEARCH("No aplica",CJ8)))</xm:f>
            <xm:f>"No aplica"</xm:f>
            <x14:dxf>
              <font>
                <color theme="0"/>
              </font>
              <fill>
                <patternFill patternType="solid">
                  <bgColor rgb="FF0070C0"/>
                </patternFill>
              </fill>
            </x14:dxf>
          </x14:cfRule>
          <x14:cfRule type="containsText" priority="165" operator="containsText" id="{2E34BB90-023B-4559-AC13-34DC969D9CBB}">
            <xm:f>NOT(ISERROR(SEARCH("No requiere reporte",CJ8)))</xm:f>
            <xm:f>"No requiere reporte"</xm:f>
            <x14:dxf>
              <font>
                <color theme="0"/>
              </font>
              <fill>
                <patternFill>
                  <bgColor theme="8" tint="-0.24994659260841701"/>
                </patternFill>
              </fill>
            </x14:dxf>
          </x14:cfRule>
          <x14:cfRule type="containsText" priority="166" operator="containsText" id="{3E4DE1A6-9558-44B4-8488-F1324C547159}">
            <xm:f>NOT(ISERROR(SEARCH("No se reportó avance",CJ8)))</xm:f>
            <xm:f>"No se reportó avance"</xm:f>
            <x14:dxf>
              <font>
                <color theme="0"/>
              </font>
              <fill>
                <patternFill>
                  <bgColor rgb="FF0070C0"/>
                </patternFill>
              </fill>
            </x14:dxf>
          </x14:cfRule>
          <x14:cfRule type="containsText" priority="167" operator="containsText" id="{94899E03-540A-4867-8743-66691B608BD0}">
            <xm:f>NOT(ISERROR(SEARCH("Revisar fórmula",CJ8)))</xm:f>
            <xm:f>"Revisar fórmula"</xm:f>
            <x14:dxf>
              <font>
                <color theme="0"/>
              </font>
              <fill>
                <patternFill>
                  <bgColor rgb="FF0070C0"/>
                </patternFill>
              </fill>
            </x14:dxf>
          </x14:cfRule>
          <xm:sqref>CJ8:CJ71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Avances</vt:lpstr>
      <vt:lpstr>Formula y segui PES_Fórmulas</vt:lpstr>
      <vt:lpstr>Avances!Área_de_impresión</vt:lpstr>
      <vt:lpstr>bm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jdcub</dc:creator>
  <cp:lastModifiedBy>Adriana Moreno Roncancio</cp:lastModifiedBy>
  <cp:lastPrinted>2020-10-03T23:53:20Z</cp:lastPrinted>
  <dcterms:created xsi:type="dcterms:W3CDTF">2020-06-08T21:13:06Z</dcterms:created>
  <dcterms:modified xsi:type="dcterms:W3CDTF">2021-11-18T12:56:05Z</dcterms:modified>
</cp:coreProperties>
</file>