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nbcgovco-my.sharepoint.com/personal/adriana_moreno_dnbc_gov_co/Documents/1. PLANEACION ESTRATÉGICA/DNBC/2025/PLANES Y PROGRAMAS/PES/TRIMESTRE II/"/>
    </mc:Choice>
  </mc:AlternateContent>
  <xr:revisionPtr revIDLastSave="0" documentId="8_{6E4163A6-E153-4DF2-BD38-91E84704F354}" xr6:coauthVersionLast="47" xr6:coauthVersionMax="47" xr10:uidLastSave="{00000000-0000-0000-0000-000000000000}"/>
  <bookViews>
    <workbookView xWindow="-120" yWindow="-120" windowWidth="29040" windowHeight="15720" xr2:uid="{00000000-000D-0000-FFFF-FFFF00000000}"/>
  </bookViews>
  <sheets>
    <sheet name="Consolidado" sheetId="5" r:id="rId1"/>
    <sheet name="Avances" sheetId="6" state="hidden" r:id="rId2"/>
    <sheet name="Hoja1" sheetId="2" state="hidden" r:id="rId3"/>
  </sheets>
  <definedNames>
    <definedName name="_xlnm._FilterDatabase" localSheetId="0" hidden="1">Consolidado!$A$13:$ED$19</definedName>
    <definedName name="_xlnm._FilterDatabase" localSheetId="2" hidden="1">Hoja1!$B$2:$D$20</definedName>
    <definedName name="_xlnm.Print_Area" localSheetId="1">Avances!$A$1:$B$106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19" i="5" l="1"/>
  <c r="DQ17" i="5"/>
  <c r="DQ18" i="5"/>
  <c r="DQ16" i="5"/>
  <c r="EB16" i="5"/>
  <c r="EB15" i="5"/>
  <c r="EB14" i="5"/>
  <c r="DX19" i="5"/>
  <c r="DX14" i="5"/>
  <c r="DX15" i="5"/>
  <c r="DU20" i="5"/>
  <c r="DW20" i="5" s="1"/>
  <c r="DT20" i="5"/>
  <c r="DV20" i="5" s="1"/>
  <c r="DS20" i="5"/>
  <c r="CS18" i="5" l="1"/>
  <c r="CS17" i="5"/>
  <c r="CS16" i="5"/>
  <c r="CS19" i="5"/>
  <c r="CG16" i="5"/>
  <c r="DX16" i="5" s="1"/>
  <c r="CG17" i="5"/>
  <c r="DX17" i="5" s="1"/>
  <c r="CS15" i="5"/>
  <c r="CS14" i="5"/>
  <c r="EA14" i="5" s="1"/>
  <c r="CG18" i="5" l="1"/>
  <c r="DX18" i="5" s="1"/>
  <c r="DW19" i="5" l="1"/>
  <c r="DV19" i="5"/>
  <c r="DW18" i="5"/>
  <c r="DV18" i="5"/>
  <c r="DW17" i="5"/>
  <c r="DV17" i="5"/>
  <c r="DW16" i="5"/>
  <c r="DV16" i="5"/>
  <c r="DW15" i="5"/>
  <c r="DV15" i="5"/>
  <c r="DW14" i="5"/>
  <c r="DV14" i="5"/>
  <c r="BE14" i="5" l="1"/>
  <c r="EG19" i="5" l="1"/>
  <c r="EF19" i="5"/>
  <c r="EG18" i="5"/>
  <c r="EF18" i="5"/>
  <c r="EG17" i="5"/>
  <c r="EF17" i="5"/>
  <c r="EG16" i="5"/>
  <c r="EF16" i="5"/>
  <c r="EG15" i="5"/>
  <c r="EF15" i="5"/>
  <c r="EG14" i="5"/>
  <c r="EF14" i="5"/>
  <c r="Q50" i="6" l="1"/>
  <c r="E63" i="6" l="1"/>
  <c r="P50" i="6" l="1"/>
  <c r="O50" i="6"/>
  <c r="C68" i="6" l="1"/>
  <c r="EB19" i="5"/>
  <c r="EA19" i="5"/>
  <c r="DZ19" i="5"/>
  <c r="EB18" i="5"/>
  <c r="EB17" i="5"/>
  <c r="EA15" i="5"/>
  <c r="DZ15" i="5"/>
  <c r="O66" i="6" l="1"/>
  <c r="C66" i="6"/>
  <c r="F66" i="6"/>
  <c r="I66" i="6"/>
  <c r="O53" i="6"/>
  <c r="C63" i="6"/>
  <c r="C50" i="6"/>
  <c r="C52" i="6"/>
  <c r="C53" i="6"/>
  <c r="E65" i="6" l="1"/>
  <c r="P53" i="6"/>
  <c r="Q53" i="6"/>
  <c r="Q55" i="6"/>
  <c r="Q52" i="6"/>
  <c r="Q66" i="6"/>
  <c r="P66" i="6"/>
  <c r="H66" i="6"/>
  <c r="G66" i="6"/>
  <c r="E53" i="6"/>
  <c r="E66" i="6"/>
  <c r="D53" i="6"/>
  <c r="D66" i="6"/>
  <c r="K66" i="6"/>
  <c r="J66" i="6"/>
  <c r="K63" i="6"/>
  <c r="H63" i="6"/>
  <c r="E50" i="6"/>
  <c r="D50" i="6"/>
  <c r="D63" i="6"/>
  <c r="K65" i="6"/>
  <c r="E52" i="6"/>
  <c r="Q65" i="6"/>
  <c r="H65" i="6"/>
  <c r="D52" i="6"/>
  <c r="K68" i="6"/>
  <c r="H68" i="6"/>
  <c r="Q68" i="6"/>
  <c r="E55" i="6"/>
  <c r="E68" i="6"/>
  <c r="D68" i="6"/>
  <c r="F68" i="6" l="1"/>
  <c r="O55" i="6"/>
  <c r="P55" i="6"/>
  <c r="C55" i="6"/>
  <c r="D55" i="6"/>
  <c r="I68" i="6"/>
  <c r="J68" i="6"/>
  <c r="G68" i="6" l="1"/>
  <c r="O68" i="6"/>
  <c r="P68" i="6"/>
  <c r="J43" i="6" l="1"/>
  <c r="K41" i="6"/>
  <c r="E30" i="6"/>
  <c r="C30" i="6"/>
  <c r="E41" i="6"/>
  <c r="D30" i="6"/>
  <c r="D29" i="6"/>
  <c r="D42" i="6"/>
  <c r="Q29" i="6"/>
  <c r="H42" i="6"/>
  <c r="H41" i="6"/>
  <c r="C29" i="6"/>
  <c r="E42" i="6"/>
  <c r="P31" i="6"/>
  <c r="C42" i="6"/>
  <c r="Q41" i="6"/>
  <c r="E29" i="6"/>
  <c r="D31" i="6"/>
  <c r="Q30" i="6" l="1"/>
  <c r="K42" i="6"/>
  <c r="Q42" i="6" l="1"/>
  <c r="Q63" i="6" l="1"/>
  <c r="F63" i="6"/>
  <c r="G63" i="6"/>
  <c r="G42" i="6"/>
  <c r="F42" i="6"/>
  <c r="I63" i="6"/>
  <c r="I42" i="6"/>
  <c r="J42" i="6"/>
  <c r="O30" i="6"/>
  <c r="P30" i="6"/>
  <c r="J63" i="6"/>
  <c r="O52" i="6" l="1"/>
  <c r="P52" i="6"/>
  <c r="D43" i="6"/>
  <c r="F65" i="6"/>
  <c r="I65" i="6"/>
  <c r="P29" i="6"/>
  <c r="J65" i="6"/>
  <c r="O29" i="6"/>
  <c r="J41" i="6"/>
  <c r="I41" i="6"/>
  <c r="F41" i="6"/>
  <c r="G41" i="6"/>
  <c r="C65" i="6"/>
  <c r="D41" i="6"/>
  <c r="C41" i="6"/>
  <c r="D65" i="6" l="1"/>
  <c r="G43" i="6"/>
  <c r="G65" i="6"/>
  <c r="P43" i="6"/>
  <c r="O41" i="6"/>
  <c r="P41" i="6"/>
  <c r="O63" i="6"/>
  <c r="O42" i="6"/>
  <c r="P42" i="6"/>
  <c r="P63" i="6"/>
  <c r="BE19" i="5"/>
  <c r="DQ19" i="5" s="1"/>
  <c r="CC18" i="5"/>
  <c r="BY18" i="5"/>
  <c r="DZ18" i="5" s="1"/>
  <c r="BU18" i="5"/>
  <c r="BQ18" i="5"/>
  <c r="BM18" i="5"/>
  <c r="BI18" i="5"/>
  <c r="BE18" i="5"/>
  <c r="DY18" i="5" s="1"/>
  <c r="BA18" i="5"/>
  <c r="AW18" i="5"/>
  <c r="AS18" i="5"/>
  <c r="CC17" i="5"/>
  <c r="BY17" i="5"/>
  <c r="DZ17" i="5" s="1"/>
  <c r="BE17" i="5"/>
  <c r="DY17" i="5" s="1"/>
  <c r="BA17" i="5"/>
  <c r="AW17" i="5"/>
  <c r="AS17" i="5"/>
  <c r="CC16" i="5"/>
  <c r="BY16" i="5"/>
  <c r="DZ16" i="5" s="1"/>
  <c r="BU16" i="5"/>
  <c r="BQ16" i="5"/>
  <c r="BM16" i="5"/>
  <c r="BI16" i="5"/>
  <c r="BE16" i="5"/>
  <c r="DY16" i="5" s="1"/>
  <c r="BA16" i="5"/>
  <c r="AW16" i="5"/>
  <c r="AS16" i="5"/>
  <c r="AO16" i="5"/>
  <c r="BE15" i="5"/>
  <c r="DQ15" i="5" s="1"/>
  <c r="EC15" i="5" s="1"/>
  <c r="BY14" i="5"/>
  <c r="DQ14" i="5" s="1"/>
  <c r="EC14" i="5" s="1"/>
  <c r="DY14" i="5"/>
  <c r="EA16" i="5" l="1"/>
  <c r="EC16" i="5"/>
  <c r="EA18" i="5"/>
  <c r="EC18" i="5"/>
  <c r="EA17" i="5"/>
  <c r="P51" i="6" s="1"/>
  <c r="EC17" i="5"/>
  <c r="DZ14" i="5"/>
  <c r="F64" i="6" s="1"/>
  <c r="DY19" i="5"/>
  <c r="EC19" i="5"/>
  <c r="DY15" i="5"/>
  <c r="H64" i="6"/>
  <c r="H38" i="6"/>
  <c r="D51" i="6"/>
  <c r="D26" i="6"/>
  <c r="E64" i="6"/>
  <c r="E38" i="6"/>
  <c r="C51" i="6"/>
  <c r="E51" i="6"/>
  <c r="C26" i="6"/>
  <c r="E26" i="6"/>
  <c r="J64" i="6"/>
  <c r="O65" i="6"/>
  <c r="P65" i="6"/>
  <c r="J38" i="6" l="1"/>
  <c r="P26" i="6"/>
  <c r="G38" i="6"/>
  <c r="K38" i="6"/>
  <c r="O51" i="6"/>
  <c r="Q51" i="6"/>
  <c r="Q26" i="6"/>
  <c r="O26" i="6"/>
  <c r="F38" i="6"/>
  <c r="I38" i="6"/>
  <c r="K64" i="6"/>
  <c r="I64" i="6"/>
  <c r="Q64" i="6"/>
  <c r="Q38" i="6"/>
  <c r="G64" i="6"/>
  <c r="C38" i="6"/>
  <c r="D64" i="6"/>
  <c r="C64" i="6"/>
  <c r="D38" i="6"/>
  <c r="O64" i="6"/>
  <c r="P64" i="6"/>
  <c r="O38" i="6"/>
  <c r="P38" i="6"/>
  <c r="E28" i="6"/>
  <c r="E40" i="6"/>
  <c r="H39" i="6"/>
  <c r="H40" i="6" l="1"/>
  <c r="E27" i="6"/>
  <c r="Q28" i="6"/>
  <c r="K40" i="6"/>
  <c r="E39" i="6" l="1"/>
  <c r="Q40" i="6"/>
  <c r="K39" i="6"/>
  <c r="Q27" i="6"/>
  <c r="D28" i="6" l="1"/>
  <c r="C28" i="6"/>
  <c r="Q39" i="6"/>
  <c r="F40" i="6" l="1"/>
  <c r="G40" i="6"/>
  <c r="D40" i="6"/>
  <c r="C40" i="6"/>
  <c r="D67" i="6" l="1"/>
  <c r="D39" i="6"/>
  <c r="D44" i="6" s="1"/>
  <c r="C39" i="6"/>
  <c r="D27" i="6"/>
  <c r="D54" i="6"/>
  <c r="C27" i="6"/>
  <c r="O40" i="6"/>
  <c r="P40" i="6"/>
  <c r="P54" i="6" l="1"/>
  <c r="P56" i="6" s="1"/>
  <c r="F39" i="6"/>
  <c r="J39" i="6"/>
  <c r="P27" i="6"/>
  <c r="O27" i="6"/>
  <c r="I39" i="6"/>
  <c r="D32" i="6"/>
  <c r="D69" i="6"/>
  <c r="D56" i="6"/>
  <c r="G39" i="6" l="1"/>
  <c r="G44" i="6" s="1"/>
  <c r="G67" i="6"/>
  <c r="G69" i="6" s="1"/>
  <c r="P67" i="6"/>
  <c r="P69" i="6" s="1"/>
  <c r="P39" i="6"/>
  <c r="P44" i="6" s="1"/>
  <c r="O39" i="6"/>
  <c r="E31" i="6" l="1"/>
  <c r="C31" i="6"/>
  <c r="E54" i="6"/>
  <c r="C54" i="6"/>
  <c r="O54" i="6" l="1"/>
  <c r="O56" i="6" s="1"/>
  <c r="Q54" i="6"/>
  <c r="Q56" i="6" s="1"/>
  <c r="K67" i="6"/>
  <c r="K69" i="6" s="1"/>
  <c r="I43" i="6"/>
  <c r="O31" i="6"/>
  <c r="K43" i="6"/>
  <c r="K44" i="6" s="1"/>
  <c r="Q31" i="6"/>
  <c r="Q32" i="6" s="1"/>
  <c r="F67" i="6"/>
  <c r="F69" i="6" s="1"/>
  <c r="H43" i="6"/>
  <c r="H44" i="6" s="1"/>
  <c r="H67" i="6"/>
  <c r="H69" i="6" s="1"/>
  <c r="F43" i="6"/>
  <c r="F44" i="6" s="1"/>
  <c r="C32" i="6"/>
  <c r="E56" i="6"/>
  <c r="E32" i="6"/>
  <c r="C56" i="6"/>
  <c r="E43" i="6" l="1"/>
  <c r="E44" i="6" s="1"/>
  <c r="C43" i="6"/>
  <c r="C44" i="6" s="1"/>
  <c r="C67" i="6"/>
  <c r="E67" i="6"/>
  <c r="E69" i="6" s="1"/>
  <c r="O67" i="6"/>
  <c r="O69" i="6" s="1"/>
  <c r="O43" i="6"/>
  <c r="O44" i="6" s="1"/>
  <c r="Q43" i="6"/>
  <c r="Q44" i="6" s="1"/>
  <c r="Q67" i="6"/>
  <c r="Q69" i="6" s="1"/>
  <c r="J40" i="6" l="1"/>
  <c r="J44" i="6" s="1"/>
  <c r="P28" i="6"/>
  <c r="P32" i="6" s="1"/>
  <c r="I40" i="6"/>
  <c r="I44" i="6" s="1"/>
  <c r="O28" i="6"/>
  <c r="O32" i="6" s="1"/>
  <c r="J67" i="6"/>
  <c r="J69" i="6" s="1"/>
  <c r="I67" i="6"/>
  <c r="I6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Alejandra Avellaneda Chaves</author>
    <author>Nubia Stella Chacon Veloza</author>
  </authors>
  <commentList>
    <comment ref="BF13" authorId="0" shapeId="0" xr:uid="{C61DCE0E-5B24-42DD-9D64-1A1B795B091C}">
      <text>
        <r>
          <rPr>
            <b/>
            <sz val="9"/>
            <color indexed="81"/>
            <rFont val="Tahoma"/>
            <family val="2"/>
          </rPr>
          <t>Maria Alejandra Avellaneda Chaves:</t>
        </r>
        <r>
          <rPr>
            <sz val="9"/>
            <color indexed="81"/>
            <rFont val="Tahoma"/>
            <family val="2"/>
          </rPr>
          <t xml:space="preserve">
Máximo 350 caracteres</t>
        </r>
      </text>
    </comment>
    <comment ref="BZ13" authorId="0" shapeId="0" xr:uid="{6D9F35A7-F7C5-4FA4-9F8D-D0FB6A0D6F69}">
      <text>
        <r>
          <rPr>
            <b/>
            <sz val="9"/>
            <color indexed="81"/>
            <rFont val="Tahoma"/>
            <family val="2"/>
          </rPr>
          <t>Maria Alejandra Avellaneda Chaves:</t>
        </r>
        <r>
          <rPr>
            <sz val="9"/>
            <color indexed="81"/>
            <rFont val="Tahoma"/>
            <family val="2"/>
          </rPr>
          <t xml:space="preserve">
Máximo 350 caracteres</t>
        </r>
      </text>
    </comment>
    <comment ref="CT13" authorId="0" shapeId="0" xr:uid="{BE6A25B6-4574-4D25-8AA3-D8857E856C3D}">
      <text>
        <r>
          <rPr>
            <b/>
            <sz val="9"/>
            <color indexed="81"/>
            <rFont val="Tahoma"/>
            <family val="2"/>
          </rPr>
          <t>Maria Alejandra Avellaneda Chaves:</t>
        </r>
        <r>
          <rPr>
            <sz val="9"/>
            <color indexed="81"/>
            <rFont val="Tahoma"/>
            <family val="2"/>
          </rPr>
          <t xml:space="preserve">
Máximo 350 caracteres</t>
        </r>
      </text>
    </comment>
    <comment ref="DN13" authorId="0" shapeId="0" xr:uid="{ED9DFBE6-9633-49CA-8E75-009282EB2947}">
      <text>
        <r>
          <rPr>
            <b/>
            <sz val="9"/>
            <color indexed="81"/>
            <rFont val="Tahoma"/>
            <family val="2"/>
          </rPr>
          <t>Maria Alejandra Avellaneda Chaves:</t>
        </r>
        <r>
          <rPr>
            <sz val="9"/>
            <color indexed="81"/>
            <rFont val="Tahoma"/>
            <family val="2"/>
          </rPr>
          <t xml:space="preserve">
Máximo 350 caracteres</t>
        </r>
      </text>
    </comment>
    <comment ref="BU18" authorId="1" shapeId="0" xr:uid="{A0B5D46E-AC42-41BB-8534-43D23A5180E0}">
      <text>
        <r>
          <rPr>
            <b/>
            <sz val="9"/>
            <color indexed="81"/>
            <rFont val="Tahoma"/>
            <family val="2"/>
          </rPr>
          <t>Nubia Stella Chacon Veloza:</t>
        </r>
        <r>
          <rPr>
            <sz val="9"/>
            <color indexed="81"/>
            <rFont val="Tahoma"/>
            <family val="2"/>
          </rPr>
          <t xml:space="preserve">
Validar que el avance cuantitativo sea coherente con el avance cualitativo. </t>
        </r>
      </text>
    </comment>
  </commentList>
</comments>
</file>

<file path=xl/sharedStrings.xml><?xml version="1.0" encoding="utf-8"?>
<sst xmlns="http://schemas.openxmlformats.org/spreadsheetml/2006/main" count="555" uniqueCount="278">
  <si>
    <t>Responsables</t>
  </si>
  <si>
    <t>Articulación Estratégica</t>
  </si>
  <si>
    <t>Apuestas Sectoriales</t>
  </si>
  <si>
    <t>Entidad</t>
  </si>
  <si>
    <t>Servidor Público
(Directivo)</t>
  </si>
  <si>
    <t>Legados de Gobierno</t>
  </si>
  <si>
    <t>Relación Programa de Gobierno</t>
  </si>
  <si>
    <t>Relación Plan Nacional de Desarrollo (PND)</t>
  </si>
  <si>
    <t>Relación con los Objetivos de Desarrollo Sostenible (ODS)</t>
  </si>
  <si>
    <t>Relación con Acuerdos de Paz
(Plan Marco de Implementación  - PMI y Compromisos PDET)</t>
  </si>
  <si>
    <t>Relación Política Pública
(Ley, Doc Conpes, Decreto, Otro)</t>
  </si>
  <si>
    <t xml:space="preserve">Objetivo Estratégico Sectorial </t>
  </si>
  <si>
    <t>No.</t>
  </si>
  <si>
    <t>Nombre Apuestas Sectoriales por dependencia / entidad</t>
  </si>
  <si>
    <t>Indicador</t>
  </si>
  <si>
    <t>Fórmula de cálculo</t>
  </si>
  <si>
    <t>Tipo</t>
  </si>
  <si>
    <t>Tipo de Acumulación</t>
  </si>
  <si>
    <t>Línea base</t>
  </si>
  <si>
    <t>Unidad de medida</t>
  </si>
  <si>
    <t xml:space="preserve">Fecha de Inicio </t>
  </si>
  <si>
    <t xml:space="preserve">Fecha de terminación </t>
  </si>
  <si>
    <t>Metas de la Apuesta Sectorial</t>
  </si>
  <si>
    <t xml:space="preserve"> PRESUPUESTO APROPIADO</t>
  </si>
  <si>
    <t>PRESUPUESTO COMPROMETIDO</t>
  </si>
  <si>
    <t>PRESUPUESTO OBLIGADO</t>
  </si>
  <si>
    <t>% COMPROMETIDO</t>
  </si>
  <si>
    <t>% EJECUCION</t>
  </si>
  <si>
    <t>% DE AVANCE ACUMULADO TOTAL</t>
  </si>
  <si>
    <t>I TRIM</t>
  </si>
  <si>
    <t>II TRIM</t>
  </si>
  <si>
    <t>III TRIM</t>
  </si>
  <si>
    <t>IV TRIM</t>
  </si>
  <si>
    <t>Total Cuatrienio</t>
  </si>
  <si>
    <t>% Avance 2023</t>
  </si>
  <si>
    <t>Ministerio del Interior</t>
  </si>
  <si>
    <t>NA</t>
  </si>
  <si>
    <t>Producto</t>
  </si>
  <si>
    <t xml:space="preserve">Porcentaje </t>
  </si>
  <si>
    <t>Acumulado</t>
  </si>
  <si>
    <t>Corporación Nasa Kiwe</t>
  </si>
  <si>
    <t>Dirección Nacional de Bomberos</t>
  </si>
  <si>
    <t>Entidad/Dependencia</t>
  </si>
  <si>
    <t>Estado</t>
  </si>
  <si>
    <t>Responsable</t>
  </si>
  <si>
    <t>Consolidado</t>
  </si>
  <si>
    <t>Unidad Nacional de Protección - UNP</t>
  </si>
  <si>
    <t>OK</t>
  </si>
  <si>
    <t>Javier</t>
  </si>
  <si>
    <t>Imprenta Nacional de Colombia - INC</t>
  </si>
  <si>
    <t>Federico</t>
  </si>
  <si>
    <t>Dirección Nacional de Derecho de Autor</t>
  </si>
  <si>
    <t>Marcela</t>
  </si>
  <si>
    <t>Nueva iniciativa, no hay trazabilidad</t>
  </si>
  <si>
    <t>Jairo</t>
  </si>
  <si>
    <t>Cristian</t>
  </si>
  <si>
    <t>Oficina Asesora de Planeación</t>
  </si>
  <si>
    <t>Oficina de Información Pública del Interior</t>
  </si>
  <si>
    <t>Pendiente</t>
  </si>
  <si>
    <t>Grupo de Articulación Interna para la Política de Víctimas del Conflicto Armado</t>
  </si>
  <si>
    <t>Bibiana</t>
  </si>
  <si>
    <t>Dirección de Derechos Humanos</t>
  </si>
  <si>
    <t>Juan</t>
  </si>
  <si>
    <t>Dirección de Asuntos Religiosos</t>
  </si>
  <si>
    <t xml:space="preserve">Dirección de Asuntos indígenas, ROM y Minorías </t>
  </si>
  <si>
    <t>Dirección de Asuntos para Comunidades Negras, Afrocolombianas, Raizales y Palenqueras</t>
  </si>
  <si>
    <t>Dirección de la Autoridad Nacional de Consulta Previa</t>
  </si>
  <si>
    <t>Preguntar la contraseña para lo de trazabilidad ya que se cambio</t>
  </si>
  <si>
    <t xml:space="preserve">Dirección de Asuntos Legislativos </t>
  </si>
  <si>
    <t>Dirección para la Democracia, la Participación Ciudadana y la Acción Comunal</t>
  </si>
  <si>
    <t>Dirección de seguridad, convivencia ciudadna y gobierno</t>
  </si>
  <si>
    <t>Yenny</t>
  </si>
  <si>
    <t>Subdirección de Gobierno, Gestión Territorial y Lucha contra la Trata</t>
  </si>
  <si>
    <t>Subdirección de Proyectos para la Seguridad y la Convivencia Ciudadana</t>
  </si>
  <si>
    <t>PROCESO</t>
  </si>
  <si>
    <t>PLANEACIÓN, DIRECCIONAMIENTO ESTRATÉGICO Y COMUNICACIONES</t>
  </si>
  <si>
    <t>VERSIÓN</t>
  </si>
  <si>
    <t>PÁGINA</t>
  </si>
  <si>
    <t>1 DE 2</t>
  </si>
  <si>
    <t>FORMATO</t>
  </si>
  <si>
    <t>FORMULACIÓN Y SEGUIMIENTO DEL PLAN ESTRATÉGICO SECTORIAL</t>
  </si>
  <si>
    <t>VIGENTE DESDE</t>
  </si>
  <si>
    <t>SEGUIMIENTO CUANTITATIVO, CUALITATIVO Y PRESUPUESTAL DE LA APUESTA SECTORIAL</t>
  </si>
  <si>
    <t>AVANCE POR VIGENCIA</t>
  </si>
  <si>
    <t>TRAZABILIDAD</t>
  </si>
  <si>
    <t>AVANCE CUANTITATIVO Y CUALITATIVO</t>
  </si>
  <si>
    <t>AVANCE PRESUPUESTAL</t>
  </si>
  <si>
    <t>Total resultado cuantitativo del cuatrienio</t>
  </si>
  <si>
    <t>Resultado cualitativo del cuatrienio</t>
  </si>
  <si>
    <t>Avance Trimestral</t>
  </si>
  <si>
    <t>% Avance  2024</t>
  </si>
  <si>
    <t>% Avance  2025</t>
  </si>
  <si>
    <t>% Avance  2026</t>
  </si>
  <si>
    <t>Total Año</t>
  </si>
  <si>
    <t>Resultado Cuantitativo I Trim</t>
  </si>
  <si>
    <t>Resultado cualitativo I Trim</t>
  </si>
  <si>
    <t>Dificultades I Trim</t>
  </si>
  <si>
    <t>Medidas correctivas
I Trim</t>
  </si>
  <si>
    <t>Resultado Cuantitativo II Trim</t>
  </si>
  <si>
    <t>Resultado cualitativo II Trim</t>
  </si>
  <si>
    <t>Dificultades II Trim</t>
  </si>
  <si>
    <t>Medidas correctivas
II Trim</t>
  </si>
  <si>
    <t>Resultado Cuantitativo III Trim</t>
  </si>
  <si>
    <t>Resultado cualitativo III Trim</t>
  </si>
  <si>
    <t>Dificultades III Trim</t>
  </si>
  <si>
    <t>Medidas correctivas
III Trim</t>
  </si>
  <si>
    <t>Resultado Cuantitativo IV Trim</t>
  </si>
  <si>
    <t>Resultado cualitativo IV Trim</t>
  </si>
  <si>
    <t>Dificultades IV Trim</t>
  </si>
  <si>
    <t>Medidas correctivas
IV Trim</t>
  </si>
  <si>
    <t>Total resultado cuantitativo del año 2023</t>
  </si>
  <si>
    <t>Resultado cualitativo del año</t>
  </si>
  <si>
    <t>Dificultades</t>
  </si>
  <si>
    <t>Medidas Correctivas</t>
  </si>
  <si>
    <t>Total resultado cuantitativo del año 2024</t>
  </si>
  <si>
    <t>Total resultado cuantitativo del año 2025</t>
  </si>
  <si>
    <t>Total resultado cuantitativo del año 2026</t>
  </si>
  <si>
    <t>N/A</t>
  </si>
  <si>
    <t>Gestión</t>
  </si>
  <si>
    <t>Stock</t>
  </si>
  <si>
    <t>Nuevo ordenamiento territorial alrededor del agua</t>
  </si>
  <si>
    <t>1. Colombia Economia para la vida</t>
  </si>
  <si>
    <t>Transformación: Ordenamiento del territorio alrededor del agua y justicia ambiental.
Catalizador: El agua, la biodiversidad y las personas, en el centro del ordenamiento territorial.</t>
  </si>
  <si>
    <t>ODS 11. Ciudades y comunidades sostenibles</t>
  </si>
  <si>
    <t>Ley 1575 de 2012 Ley General de Bomberos</t>
  </si>
  <si>
    <t>1. Fortalecer la equidad e integración en las instituciones de Bomberos del país.
2. Mejorar la prestación del servicio público esencial de Bomberos en el 100% del territorio nacional.
3. Fortalecer en un 100% el desempeño organizacional e institucional de la Dirección Nacional de Bomberos de Colombia.</t>
  </si>
  <si>
    <t>Fortalecer a los Bomberos de Colombia con equipamiento especializado en la gestión integral del riesgo contra incendios, preparativos, rescates en todas sus modalidades, la atención en materiales peligrosos y la atención de emergencias.</t>
  </si>
  <si>
    <t>Instituciones de Bomberos fortalecidas con equipamiento especializado en la gestión integral del riesgo contra incendios, preparativos, rescates en todas sus modalidades  la atención en materiales peligrosos y la atención de emergencias.</t>
  </si>
  <si>
    <t>No. De Instituciones de Bomberos fortalecidas</t>
  </si>
  <si>
    <t xml:space="preserve">Número </t>
  </si>
  <si>
    <t>ENERO: El 31 de enero se realizó la Junta Nacional de Bomberos en la que se aprobo la distribución de los recursos de inversión en los actividades del proyecto.
FEBRERO. Se adelantaron los procesos de contratación para la adquisición de: 14 Kit Bomba Multipropósito 35 Compresores de aire respirable 25 Kit Bomba Forestal
MARZO: Infraestructura 21 estaciones de bomberos VF</t>
  </si>
  <si>
    <t>Abril: 12 abril se firma convenio para construcción estación de Bomberos de Caloto (Cauca)
Junio: Se adjudicaron los siguientes contratos:
116 de 2023 – Adqusición KIT Rescate Vehicular – Impleseg 
117 de 2023 – Adquisición KIT EPP (Equipos de Protección Personal) – Ripel S.A.S.
Entregas de equipos
Contrato 051 – 25 Kits Bombas Forestales
Contrato 052 – 35 compresres recarga aire</t>
  </si>
  <si>
    <t xml:space="preserve">Se adjudicaron los siguientes contratos: 
Contrato 117 – Adquisición 60 Kits EPP  
Contrato 125 – Adquisición 18 Vehículos Cisternas 
Octubre - Contrato 231 - Adqusición 30 Bombas Forestales 
Se recibe en la bodega del almacen de la DNBC los siguientes Bienes de contratos 2023: 
Julio: Contrato 053  - 20 Bombas multiproposito 
Septiembre: Contrato 116 – 16 kits Rescate vehicular (hace falta recibir 13 Kits por parte del proveedor) </t>
  </si>
  <si>
    <t>Octubre: Se adjudicaron los siguientes contratos
231 – 2023 Bombas para incendios forestales - RIPEL
258 – 2023  Compresores de cascada – Nauticenter
268 – 2023 Equipos Forestales y verticales – Unión Temporal Forestal 007
Entregas de equipos mes de Diciembre
Contrato 116 – 2023   09 KIT Rescate Vehicular – Impleseg 
Contrato 125 – 2023  18 Vehículos Cisternas – Unión Temporal Bomberos Colombia 2023
Contrato 258 – 2023  4 Compresores de cascada – Nauticenter
Contrato 268 – 2023 25 Equipos Forestales y 25 equipos rescate vertical – Unión Temporal Forestal 007</t>
  </si>
  <si>
    <t>En la vigencia 2023 se fortalecieron 177 instituciones bomberiles en el país con diferentes herramientas y equipos especializados para la atención de emergencias</t>
  </si>
  <si>
    <t>N.A.</t>
  </si>
  <si>
    <t>Para este primer trimestre no se programo meta de esta iniciativa.</t>
  </si>
  <si>
    <t xml:space="preserve">Julio: No se relizaron entregas de equipos en este mes.
Agosto: No se realizaron entregas de equipos en este mes
Septiembre: Entregas equipos forestales a 86 Cuerpos de Bomberos de 4 Departamentos
Departamento del Cauca: 14 Cuerpos de Bomberos Voluntarios Fortalecidos
Departamento del Tolima: 26 Cuerpos de Bomberos Voluntarios Fortalecidos
Departamento del Huila: 24 Cuerpos de Bomberos Voluntarios Fortalecidos
Departamento del Valle del Cauca: 22 Cuerpos de Bomberos Voluntarios Fortalecidos
</t>
  </si>
  <si>
    <t>Octubre: Entrega de 254 equipos forestales a cuerpos de bomberos de 19 Departamentos:
1. ANTIOQUIA : 26 Cuerpos de Bomberos
2. ARAUCA: 5 Cuerpos de Bomberos
3. ATLÁNTICO 12 Cuerpos de Bomberos
4. BOLIVAR  18 Cuerpos de Bomberos
5. BOYACA  24 Cuerpos de Bomberos
6. CALDAS 9 Cuerpos de Bomberos
7. CAQUETA  10 Cuerpos de Bomberos
8. CASANARE  10 Cuerpos de Bomberos
9. CHOCO  14 Cuerpos de Bomberos
10. CORDOBA  10 Cuerpos de Bomberos
11. GUAVIARE  4 Cuerpos de Bomberos
12. MAGDALENA  12 Cuerpos de Bomberos
13. META 17  Cuerpos de Bomberos
14. NORTE DE SANTANDER 11 Cuerpos de Bomberos
15. PUTUMAYO 11 Cuerpos de Bomberos
16. QUINDIO 16 Cuerpos de Bomberos
17. RISARALDA 14 Cuerpos de Bomberos
18. SANTANDER 21 Cuerpos de Bomberos
19 . SUCRE 10 Cuerpos de Bomberos
Noviembre: Entrega de 29 equipos Forestales a 4 Departamentos: 
1. AMAZONAS  2Cuerpos de Bomberos
2. CESAR  14 Cuerpos de Bomberos
3. LA GUAJIRA 10 Cuerpos de Bomberos
4. SAN ANDRÉS Y PROVIDENCIA   3 Cuerpos de Bomberos
Diciembre: Entrega de 03 equipos forestales en el Departamento de Vichada</t>
  </si>
  <si>
    <t>La magnitud de cumplimiento reportada de los organismos de atención de emegencias fortalecidos en la vigencia 2024 corresponden a los bienes adquiridos y etregados  en el marco de la urgencia manifiesta para la atención de incendios forestales generada en el primer semestre de la vigencia.
En el último trimestre del año 2024 se adquirieron 72 bombas forestales las cuales fueron recibidas por la entidad en el mes de diciembre y que serán entregadas en el primer trimestre del  2025 a los cuerpos de bomberos acorde con la regionalización que apruebe la Junta Nacional de Bomberos</t>
  </si>
  <si>
    <t>Afianzar en los Bomberos de Colombia la formación, capacitación, entrenamiento y reentrenamiento bomberil</t>
  </si>
  <si>
    <t>Unidades bomberiles formadas, capacitadas, entrenadas y reentrenadas en materia bomberil</t>
  </si>
  <si>
    <t>No. De Unidades Bomberiles formadas, capacitadas, entrenada y reentrenadas</t>
  </si>
  <si>
    <t>ENERO: El 31 de enero se realizó la Junta Nacional de Bomberos en la que se aprobo la distribución de los recursos de inversión en los actividades del proyecto.
FEBRERO. Apoyo técnico y profesional contratado
MARZO: En proceso de planificación de la estrategia de educación</t>
  </si>
  <si>
    <t>Durante el primer trimestre del año, una vez que la Junta Nacional de Bomberos aprobara la  distribución de los recursos de inversión, para esta actividad era necesario realizar convenios para el desarrollo de cada una de las Plataformas (estrategias y herramientas de fortalecimiento) en temas específicos como Incendios Forestales, Rescates, Aeronaves no tripuladas, etc.
Debido a cambios Directivos y en los equipos de trabajo al interior de la Entidad, hasta el mes de junio no se lograron realizar  los convenios que permitirán el desarrollo de estas plataformas, ahora, si se firmaran en el siguiente trimestre, no se puede cumplir el numero de la meta fijada.
Tambien existe la posibilidad que el siguiente trimestre se solicite a Junta Nacional de Bomberos el traslado de los recursos de esta actividad a otra, lo cual imposibilita aún mas el cumplimiento de la meta.
Por lo anterior, solicitamos cambiar la meta de este año a cero (0). Las metas de las siguientes vigencias no tienen novedades hasta el momento.</t>
  </si>
  <si>
    <t>De acuerdo con la cadena de valor del proyecto de inversión, la entidad define a esta iniciativa, asociar el producto resultado de la ejecución de Convenios suscritos con Escuelas Nacionales de Formación para Bomberos, previstos ejecutar en la vigencia.</t>
  </si>
  <si>
    <t>Octubre: Se ralizaron los documentos precontractuales para la selección de las Escuela de Bomberos que suministren capacitaciones a unidades bomberiles a nivel nacional
Noviembre: Se sucribieron 4 Convenios con las escuelas de Bomberos de Los Santos - Santander, Villavicencio - Meta, Chinchina - Caldas y Sabaneta - Antioquia.
Diciembre:  Se ejecutaron las actividades de capacitación programadas en cada región, capacitando a 504 bomberos en 21 cursos ( Sistema Comando de Incidentes básico, Gestión y Adminstración de Cuerpos de Bomberos, Inspector de seguridad Básico, Procedimientos Operativos normalizados y Primeros auxilios psicológicos) en el territorio nacional</t>
  </si>
  <si>
    <t>Al cierre de la vigencia 2023 se lograron capacitar 504 unidades bomberiles a través de 21 cursos en 5 regiones del país, dictados por 4 escuelas nacionales de formación para bomberos con quienes se suscribieron convenios para la ejecución del  proyecto de fortalecimiento de las capacidades de instrucción de los Bomberos de Colombia</t>
  </si>
  <si>
    <t>Para este segundo trimestre no se programo meta de esta iniciativa.</t>
  </si>
  <si>
    <t xml:space="preserve">En el mes de septiembre se celebro Convenio de educación para desarrollar capacitación a unidades bomberiles, en el último trimestre de la vigencia en 5 zonas del país. La proyección de lo acordado es impactar a 1600 unidades bomberiles en 7 cursos y 5 talleres en temáticas bomberiles </t>
  </si>
  <si>
    <t>En el ultimo trimestre de 2024 se formaron 1983 unidades bomberiles de todo el país a través de programas de educación y de entrenamiento bomberil con el programa de plataformas especializadas: 
Curso de Formación para Bomberos
Curso Capacitación para Instructores CPI
Curso de Gestión y administración de cuerpos de bomberos
Curso Procedimientos Operativos Normalizados
Curso Sistema de Comando de Incidentes Básico para Bomberos
Curso De Operación En Rescate Con Cuerdas
Curso de Inspector de Seguridad Básico
Rescate En Vehículos - Nivel Operaciones
Taller Curso de Formación para Bomberos
Taller Curso Gestión y Administración de cuerpos de Bomberos
Taller Curso Inspector de Seguridad Nivel Básico
Taller Curso de Rescate Vehicular
Taller Búsqueda y Rescate Operaciones Técnicas con Cuerdas
 Curso de formación de Bombero básico Presencial
Octubre: 537 Unidades bomberiles capacitadas y formadas 
Noviembre: 657   Unidades bomberiles capacitadas y formadas
Diciembre:  789 Unidades bomberiles capacitadas y formadas</t>
  </si>
  <si>
    <t>En el año 2024 se formaron 1983 unidades bomberiles de todo el país a través de programas de educación y de entrenamiento bomberil con el programa de plataformas especializadas: 
Curso de Formación para Bomberos
Curso Capacitación para Instructores CPI
Curso de Gestión y administración de cuerpos de bomberos
Curso Procedimientos Operativos Normalizados
Curso Sistema de Comando de Incidentes Básico para Bomberos
Curso De Operación En Rescate Con Cuerdas
Curso de Inspector de Seguridad Básico
Rescate En Vehículos - Nivel Operaciones
Taller Curso de Formación para Bomberos
Taller Curso Gestión y Administración de cuerpos de Bomberos
Taller Curso Inspector de Seguridad Nivel Básico
Taller Curso de Rescate Vehicular
Taller Búsqueda y Rescate Operaciones Técnicas con Cuerdas
 Curso de formación de Bombero básico Presencial</t>
  </si>
  <si>
    <t>Coordinar y apoyar técnica y operativamente a los Bomberos de Colombia en la atención de emergencias</t>
  </si>
  <si>
    <t>Solicitudes de apoyo técnico y operativo presentadas por los Bomberos de Colombia</t>
  </si>
  <si>
    <t>No. De solicitudes de apoyo técnico y operativo gestionadas en el periodo/ No. De solicitudes de apoyo técnico y operativo presentadas en el periodo.</t>
  </si>
  <si>
    <t>ENERO: Se gestionaron 6 solicitudes de apoyo aéreo y terrestre, FEBRERO: 15 solicitudes gestionadas MARZO: 4 solicitudes gestionadas. De otra parte a través de la CITEL se reportan 48.296 emergencias registradas en el sistema RUE de servicios atendidos por los Cuerpos de Bomberos del País en el primer trimestre de 2023. En total se gestionaron las 25 solicitudes recibidas</t>
  </si>
  <si>
    <t>ABRIL: Se gestionó 1 apoyo de traslado de brigada forestal
MAYO: Se gestionaron 9 apoyos (4 sobrevuelos con descarga, 1 concepto de seguridad, 2 activaciones de componente de búsqueda y rescate y 2 movilizaciones de brigadas forestales.
JUNIO: Se gestionaron 5 apoyos de sobrevuelos con descarga y 6 movilizaciones de brigadas forestales.
En total se gestionaron 21 apoyos por parte del proceso de Coordinación Operativa.</t>
  </si>
  <si>
    <t xml:space="preserve">JULIO: Se gestiono 6 apoyos terrestres y 5 apoyos aereos. 
AGOSTO:  Se gestionó 11 apoyos aereos y 9 apoyos terrestres.
SEPTIEMBRE: Se gestionó 12 apoyos terrestres y 19 apoyos aereos.
En total se gestionaron 62 apoyos por parte del proceso de Coordionacion Operativa. </t>
  </si>
  <si>
    <t xml:space="preserve">OCTUBRE: Se gestiono 3 apoyos  aereos. 
NOVIEMBRE  Se gestionó 2 apoyos aereos y 2 apoyos terrestres.
DICIEMBRE: Se gestionó 1 apoyo terrestres y 2 apoyos aereos.
En total se gestionaron 10 apoyos por parte del proceso de Coordionacion Operativa. </t>
  </si>
  <si>
    <t>En el año 2023 se gestionaron y coordinaron 118 solicitudes de apoyo técnico y operativo  a los Bomberos de Colombia en la atención de emergencias</t>
  </si>
  <si>
    <t xml:space="preserve">En el trimestre I de 2024 se gestionaron 75 apoyo aéreos, 12 apoyos de aeronáutica Civil, 3 movilizaciones de bomberos oficiales, 6 movilizaciones de bomberos voluntarios, 1 movilización de brigadas forestales, 18 activaciones de batallones de desastres, y 8 de PONALSAR.
Enero: 17 apoyo aéreos, 2 de aeronática Civil, 1 movilización de bomberos oficiales y 2 de PONALSAR.
Febrero: 21 Apoyos aéreos, 2 Aeronáutica Civil, 1 movilización de bomberos voluntarios, 1 movilización de brigadas forestales y 5 de Batallón de desastres.
Marzo: 37 apoyos aéreos, 8 de aeronáutica Civil, 2 movilizaciones de bomberosw oficiales, 5 movilizaciones de bomberos voluntarios, 13 de Batallón de desastres y 6 de Ponalsar. </t>
  </si>
  <si>
    <t>En el trimestre II se gestionaron 26 apoyos operativos.
Abril: 15 apoyos ( 7 apoyos aéreos, 2 Aeronáutica Civil, 1 movilización con bomberos oficiales, 3 PONALSAR)
Mayo: 10 Apoyos (4 apoyos aéreos, 1 aeronática Civil, 1 movilización bomberos oficlaes, 2 movilizaciones de brigadas forestales, 1 Batallón de desastres 1 PONALSAR)
Junio. 1 Apoyo Aéreo.</t>
  </si>
  <si>
    <t>En el trimestre III de 2024 se gestionaron 45 apoyos aéreos, 04 apoyos de aeronáutica Civil, 0 movilizaciones de bomberos oficiales, 1 movilizaciones de bomberos voluntarios, 7 movilización de brigadas forestales, 7 movilizaciones ejército Nacional,14 activaciones de batallones de desastres, y 5 de PONALSAR.
Julio: 02 apoyo aéreos, 2, 1 movilización Batallón de desastres.
Agosto: 11 Apoyos aéreos, 2 Aeronáutica Civil, 1 movilización de bomberos voluntarios, 6 movilizaciones de Batallón de desastres y 2 PONALSAR
Septiembre: 32 apoyos aéreos, 2 de aeronáutica Civil, 7  movilizaciones de brigadas forestales, 7 Ejército Nacional, 7 Battalón de desastresy 3 PONALSAR</t>
  </si>
  <si>
    <t>En el trimestre IV de 2024, se gestionaron  02 apoyos aéreos, 02 apoyos aeronáutica Civil, 3 movilizaciones Bomberos Voluntarios, 04 movilizaciones ejército nacional,  y  1 movilizaciones PONALSAR
Octubre: 2 apoyos aéreos, 2 Aeronática Civil, 2 Ejército Nacional, y 01 PONALSAR.
Noviembre: 1 Apoyo ejército nacional.
Diciembre: 3 Movilizaciones Bomberos Voluntarios y 1 Ejército Nacional</t>
  </si>
  <si>
    <t>Durante el año 2024 se gestionaron 244 solicitudes de apoyo técnico y operativo en la atención de emergencias</t>
  </si>
  <si>
    <t>Durante el primer trimestre de 2025 se recibieron y gestionaron 29 solicitudes de apoyo aéreo y movilizaciones terrestres.
Enero: 0
Febrero: 0
Marzo: 29</t>
  </si>
  <si>
    <t>Asesorar y acompañar a los Bomberos de Colombia en acciones de gestión territorial orientadas al cumplimiento de la prestación del servicio público esencial de Bomberos</t>
  </si>
  <si>
    <t>Mesas técnicas territoriales asesoradas para el cumplimiento  de la prestación del servicio público esencial de Bomberos</t>
  </si>
  <si>
    <t>No. de acompañamientos técnicos realizados en territorio / No. de acompañamientos técnicos requeridos en territorio</t>
  </si>
  <si>
    <t>ENERO: El 31 de enero se realizó la Junta Nacional de Bomberos en la que se aprobo la distribución de los recursos de inversión en los actividades del proyecto.
FEBRERO. Procesos precontractuales
MARZO: En proceso de planificación de la estrategia de inspección vigilancia y control para los cuerpos debomberos del país</t>
  </si>
  <si>
    <t>Abril:Se realizaron 2 inspecciones a los CBV de: Puerto Colombia- Atlantico y Duitama -Boyaca.
 Mayo:Se realizaron 4 inspecciones a los CBV de Atlantico: Sabanagrande ,Polonuevo,Galapa,Sabanalarga y 4 visitas del departamento del Valle: Riofrio,Santa Elena el Cerrito,Candelaria,Palmira.
Para el mes de Junio: Se realizo 1 visita a el CBV de Santa Fe de Antioquia. Nota: La informacion suministrada corresponde a la evidencias que reposan en fisico en el inventario del proceso de IVC  a la fecha.</t>
  </si>
  <si>
    <t xml:space="preserve">Julio: Se realizaron visitas de inspeccion vigilancia y control segun cronograma  a los siguientes  cuerpos de bomberos: Moniquira y Duitama- Boyaca      
Agosto: CBV de  Armenia y Circasia - Quindio,CBO de Armenia - Quindio.   
Septiembre: Villanueva-Casanare,Sibate y Suesca- Cundinamarca, CBO Armenia - Quindio
En total en el trimestre se ejecutaron  9 visitas                                                                                                                      </t>
  </si>
  <si>
    <t xml:space="preserve">Se realizaron visitas de inspeccion vigilancia y control segun cronograma a los siguientes  cuerpos de bomberos:
 Octubre:Buga la Grande -Valle ,Toluviejo- Sucre, Suesca- Cundinamarca, 
 Noviembre: La Virginia-Risaralda, Santader De Quilichao - Cauca. 
 Diciembre: Barracas - Guajira       En total en el trimestre se ejecutaron  6 visitas                                             </t>
  </si>
  <si>
    <t>De acuerdo con las solicitudes realizadas en el año 2023 se asesoraron y acompañaron 26 Mesas técnicas territoriales  para el cumplimiento  de la prestación del servicio público esencial de Bomberos en el país.</t>
  </si>
  <si>
    <t>Durante el primer trimestre de la vigencia, se trabajo en la planificación de las mesas técnicas de asesoría en gestión territorial en el marco de la prestación del servicio público esencial, acorde con las lineas de fortalecimiento administrativo a los Cuerpos de Bomberos del país.</t>
  </si>
  <si>
    <t>En el segundo trimestre de la vigencia se adelantan los procesos precontractuales y estudios de sector para celebrar los compromisos que permitan ejecutar las actividades territoriales para el fortalecimiento de la actividad bomberil a partir del tercer trimestre</t>
  </si>
  <si>
    <t xml:space="preserve">En el tercer trimestre de la vigencia, se continuan adelantando procesos precontractuales para la celebracion de convenios para la ejecución de productos de gestión territorial de acciones de prevención para el fortalecimiento de la actividad bomberil </t>
  </si>
  <si>
    <t>No se adelantó gestión frente a los requerimientos técnicos planteados en la iniciativa, dado que su gestión estaba articulada al proceso contractual para llevar a cabo apoyos en procesos de prevención y trabajo con la comunidad a través de Cuerpos de Bomberos</t>
  </si>
  <si>
    <t>Durante el primer trimestre de la vigencia se asesoraron y acompañaron 10 mesas técnicas en el Territorio Nacional en relación con la Prestación del Servicio Público Bomberil, con la Procuraduría General de la Nación y con Cuerpos de Bomberos de 8 Municipios.
Enero: 0 
Febrero: 0
Marzo: 10</t>
  </si>
  <si>
    <t>No se presentan</t>
  </si>
  <si>
    <t>Brindar a los Bomberos de Colombia el soporte técnico, jurídico, administrativo y operativo requerido para la prestación del servicio público esencial de bomberos</t>
  </si>
  <si>
    <t xml:space="preserve">Instituciones de  Bomberos con soporte técnico, jurídico, administrativo y operativo </t>
  </si>
  <si>
    <t>No de instituciones de bomberos asistidos técnica, jurídica, operativa y administrativamente en el periodo/ No de instituciones de bomberos que requirieron asistencia técnica, jurídica, operativa y administrativa en el periodo</t>
  </si>
  <si>
    <t>ENERO: El 31 de enero se realizó la Junta Nacional de Bomberos en la que se aprobo la distribución de los recursos de inversión en los actividades del proyecto.
FEBRERO y MARZO: Se adelantaron procesos de contratación para el apoyo y asesoría  técnica, administrativa y operativa para servicios a los Cuerpos de Bomberos del país.</t>
  </si>
  <si>
    <t>En totalidad se asesoraron 41 cuerpos de bomberos durante el trimestre. ABRIL: 14 MAYO: 12 JUNIO: 15 .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</si>
  <si>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Se asesoraron en total 83 cuerpos de bomberos por medio telefónico, reuniones en territorio y escrito. Julio: 48, agosto: 35 y septiembre: 31.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</si>
  <si>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Se asesoraron en total 86 cuerpos de bomberos por medio telefónico, reuniones en territorio y escrito. Octubre: 56, Noviembre: 34 y Diciembre 21 (con corte al 22 de diciembre). Se presenta la totalidad de las asesorías jurídicas brindadas desde el area misional a los cuerpos de Bomberos, sin embargo la asistencia técnica, y adminstrativa a los cuerpos de bomberos que se presta desde la Dirección Nacional impacta y beneficia a la totalidad de las instituciones bomberiles del país es decir a las 864 existentes.</t>
  </si>
  <si>
    <t>En la vigencia 2023, se prestó asesoría técnica, jurídica, administrativa y operativa a través de las diferentes areas de la Dirección Nacional de Bomberos, que impactaron en la gestión de los 864 Cuerpos de Bomberos de país, fueron 210 acompañamientos jurídicos, soportados en gestión territorial, entrega de instrumentos administrativos, reglamentos, directrices entre otros, en aras de de brindar a los Bomberos de Colombia el soporte  requerido para la prestación del servicio público esencial de bomberos.</t>
  </si>
  <si>
    <t>Enero: La asesoria a los cuerpos de bomberos se prestó con el personal de planta de la entidad, acorde con los requerimientos que se fueron recibiendo en las áreas misionales, asesoría jurídica misional, asesoría en proyectos de fortalecimiento a los cuerpos de bomberos en infraestructura y en equipos y vehículos especilizados para la atención de emergencias.
Febrero: Se dió inicio a los procesos precontractuales del personal de apoyo a la gestión   de los procesos misionales para la asesoría tecnica, jurídica, administrativa y operativa que generarán conocimiento en la actividad bomberil a los más de 841 cuerpos de Bomberos del territorio nacional.
Marzo: Se contó con personal de apoyo a la gestión de la DirecciónNacional de Bomberos, para dar respuesta a las diferentes PQRSD radicadas en la entidad en la relación con la actividad de prestación del servicio público esencial del bomberos en el territorio Nacional, el proceso de educación , de inspección vigilancia y control, de comunicación externa en la visibilización del trabajo desarrrollado por los Cuerpos de Bomberos.</t>
  </si>
  <si>
    <t xml:space="preserve">Abril: Se realizó acompañamiento jurídico desde el proceso Formulación Normativa a los cuerpos de bomberos del Municipio de Galapa – Atlántico, Asesoría y acompañamiento jurídico en el segundo encuentro de delegados y coordinadores departamentales de la región caribe, Se gestionaron apoyos desde el proceso de fortalecimiento bomberil para la formulación de documentos y fichas técnicas para las adquisiciones de bienes a entregar a los cuerpos de bomberos, acompañamiento a los cuerpos de bomberos en reclamaciones de seguros de vida, asesoría técnicas en la construcción de planes de acción para identificación de necesidades de fortalecimiento, acompañamiento a cuerpos de bomberos en verificación de condiciones de operatividad, seguimiento a procesos de infraestructura- convenios para la construcción de estaciones de bomberos, participación en mesas técnicas y puestos de mando unificados en el marco del Sistema Nacional de Gestión del Riesgo. Formulación de Planes, programas y proyectos para fortalecer la prestación del servicio público esencial de bomberos, participación en reuniones y mesas técnicas en territorio relacionadas con la prestación del servicio bomberil.
Mayo: Se realizó acompañamiento jurídico desde el proceso Formulación Normativa a los cuerpos de bomberos , formulación de documentos y fichas técnicas para las adquisiciones de bienes a entregar a los cuerpos de bomberos, acompañamiento a los cuerpos de bomberos en reclamaciones de seguros de vida, asesoría técnicas en la construcción de planes de acción para identificación de necesidades de fortalecimiento, acompañamiento a cuerpos de bomberos en verificación de condiciones de operatividad, seguimiento a procesos de infraestructura- convenios para la construcción de estaciones de bomberos, participación en mesas técnicas y puestos de mando unificados en el marco del Sistema Nacional de Gestión del Riesgo. Formulación de Planes, programas y proyectos para fortalecer la prestación del servicio público esencial de bomberos, asistencia técnica en proceso de alianzas estratégicas y cooperación, participación en reuniones y mesas técnicas en territorio relacionadas con la prestación del servicio bomberil.
Junio: Acompañamiento jurídico al Cuerpo de Bomberos Voluntarios de Rionegro - Santander verificación de condiciones de operatividad, acompañamiento jurídico en reunión con el Secretario del Interior del Departamento de Santander, trámite de inscripción de dignatarios de los cuerpos de bomberos voluntarios del departamento. Se han gestionado 176 peticiones, quejas y reclamos con apoyo jurídico de la entidad. Se realizó acompañamiento jurídico desde el proceso Formulación Normativa a los cuerpos de bomberos , formulación de documentos y fichas técnicas para las adquisiciones de bienes a entregar a los cuerpos de bomberos, acompañamiento a los cuerpos de bomberos en reclamaciones de seguros de vida, asesoría técnicas en la construcción de planes de acción para identificación de necesidades de fortalecimiento, acompañamiento a cuerpos de bomberos en verificación de condiciones de operatividad, seguimiento a procesos de infraestructura- convenios para la construcción de estaciones de bomberos, participación en mesas técnicas y puestos de mando unificados en el marco del Sistema Nacional de Gestión del Riesgo. Formulación de Planes, programas y proyectos para fortalecer la prestación del servicio público esencial de bomberos, asistencia técnica en proceso de alianzas estratégicas y cooperación, participación en reuniones y mesas técnicas en territorio relacionadas con la prestación del servicio bomberil.
</t>
  </si>
  <si>
    <t>Julio: Se realizó apoyo técnico y jurídico en temas de contratación, asesoría en la creación y conformación de cuerpos de bomberos,   y atención en solicitud de fortaleicmiento con autoridades territoriales. Departamentos de : Boyacá, Magdalena, Córdona Choco, Casanare, Santander, Antioquia, Norte de Santander, Caldas y Cundinamarca. Se brindó asesoría desde el Procesos de formulación normativa, se revisaron fichas técnicas de fortalecimiento y se apoyo en temas de seguros de vida para los bomberos, desde el proceso de Cooperación internacional se acompaaron  procesos de alianzas estratégicas y se brindó desde el area administrativa de la entidad todo el soporte técnico, administrativo y financiero entemas de ejecución de los recursos del Fondo Nacional de Bomberos, de igual forma se generaron espacios de oferta institucional en los territorios, de otra parte se participa de los puestos de mando unificado desde la UNGRD y se participa de mesas técnicas interinstitucionales en temáticas bomberiles.
Agosto: Se adelantaron procesos de asesoría y asistencia técnica, así como se atendieron solicitudes de fortalecimiento y se revisaron aspectos de funcionamiento de los Cuerpos de Bomberos y se abordaron temás como la sobretasa bomberil con autoridades territoriales de los Departamentos de Quindio, Atlántico, Córdoba y Boyacá.
Se brindó asesoría desde el Procesos de formulación normativa, se revisaron fichas técnicas de fortalecimiento y se apoyo en temas de seguros de vida para los bomberos, desde el proceso de Cooperación internacional se acompaaron  procesos de alianzas estratégicas y se brindó desde el area administrativa de la entidad todo el soporte técnico, administrativo y financiero entemas de ejecución de los recursos del Fondo Nacional de Bomberos, de igual forma se generaron espacios de oferta institucional en los territorios, de otra parte se participa de los puestos de mando unificado desde la UNGRD y se participa de mesas técnicas interinstitucionales en temáticas bomberiles.
Septiembre: Asesoría y apoyo técnico en temáticas por incendios forestales, requerimientos por parte de autoridades territoriales de fortalecimiento en infraestructura para la construcción de estaciones, revisión de situación de brigadas forestales, entre otros temás operativos. Departamentos de Tolima, Magdalena, Huila, Cundinamarca,  Narño y Chocó. 
Se brindó asesoría jurídica desde el Procesos de formulación normativa, se revisaron fichas técnicas de fortalecimiento y se apoyo en temas de seguros de vida para los bomberos, desde el proceso de Cooperación internacional se acompaaron  procesos de alianzas estratégicas y se brindó desde el area administrativa de la entidad todo el soporte técnico, administrativo y financiero entemas de ejecución de los recursos del Fondo Nacional de Bomberos, de igual forma se generaron espacios de oferta institucional en los territorios, de otra parte se participa de los puestos de mando unificado desde la UNGRD y se participa de mesas técnicas interinstitucionales en temáticas bomberiles.</t>
  </si>
  <si>
    <t>Octubre: Se realizó apoyo técnico y jurídico en temas de contratación, asesoría en la creación y conformación de cuerpos de bomberos y asistencia técnica en cuanto a gestión con autoridades territoriales, de igual forma se llevo a territorio la oferta institucional de la DNBC, como una estrategia de acercamiento en gestión territorial, se fortalecieron al interior de la entidad los procesos estratégicos y de apoyo que soportan la  operación de la entidad para dar respuesta a los servicios que demandan los diferentes cuerpos de bomberos del país. 841 Cuerpos de Bomberos
Noviembre: Soporte técnico administrativo a los diferentes Cuerpos de Bomberos del país y entes territoriales en asuntos relacionados con la prestación del servicio público bomberil en el país. Apoyo jurídico y atención d elas diferentes peticiones, quejas y reclamos en asuntos relacionados con la actividad bomberil gestión de recursos, procesos de contratación entre otros. Asesoría y asistencia técnica en gestión de cooperación internacional y alianzas estratégicas y relacionamiento ciudadano en el marco de la misionalidad de la entidad. Formulación de fichas técnicas de fortalecimiento para los Cuerpos de Bomberos, Soporte técnico y profesional en procesos institucionales internos que soportan la operación de la entidad y su gestión de cara al servicio de sus partes interesadas. 841 Cuerpos de Bomberos
Diciembre: Asesoría y acompañamiento técnico en procesos de fortalecimiento bomberil, infraestructura, asesoría jurídica, soporte tecnico y administrativo en la gestión de procesos relacionados con el servicio público bomberil. Acompañamiento en procesos administrativos de operación de cuerpos de bomberos, gestión territorial y desarrooolo de actividades de renición de cuentas y de socialización de la gestión institucional.841 Cuerpos de Bomberos</t>
  </si>
  <si>
    <t>En la vigencia 2024, se presto asesoría técnica, jurídica, administrativa y operativa a través de las diferentes áreas de  la entidad, que impactaron en la gestión de los 841 Cuerpos de Bomberos del País, con acompañamiento jurídicos, soportados en gestión territorial, entrega de instrumentos administrativos, reglamentos, y directrices entre otros, propendiendo por brindar a los Cuerpos de Bomberos del país, el soporte requerido para la prestación del servicio público esencial de bomberos.</t>
  </si>
  <si>
    <t>“Durante el trimestre se prestó asesoría, acompañamiento jurídico, técnico y administrativo a los 841 miembros de bomberos del Territorio Nacional en temáticas relacionadas con la prestación del servicio público Bomberil, la creación de nuevos cuerpos de bomberos y de Fondos departamentales de Bomberos, de igual forma se asesoró jurídicamente en aspectos puntuales sobre acciones administrativas que se presentan al interior de estas instituciones. Se asesoró en la formulación de planes de acción para el fortalecimiento de los cuerpos de bomberos y la preparación para la respuesta. Se gestionaron actividades relacionadas con el proceso de educación y formación bomberil.  Desde el interior de la entidad se generaron acciones de fortalecimiento institucional de los procesos que integran la DNBC a fin de dar respuesta a nuestras partes interesadas en el marco de la misionalidad institucional.”
Enero: 0
Febrero: 841 Cuerpos de Bomberos
Marzo: 841 Cuerpos de Bomberos</t>
  </si>
  <si>
    <t xml:space="preserve">Sensibilizar a los Bomberos de Colombia en prevención de violencia y discriminación en contra de las mujeres y población vulnerable </t>
  </si>
  <si>
    <t xml:space="preserve">Departamentos del territorio nacional sensibilizados  en prevención de violencia y discriminación en contra de las mujeres y población vulnerable </t>
  </si>
  <si>
    <t>No. De Departamentos del territorio sensibilizados</t>
  </si>
  <si>
    <t>ENERO: El 31 de enero se realizó la Junta Nacional de Bomberos en la que se aprobo la distribución de los recursos de inversión en los actividades del proyecto.</t>
  </si>
  <si>
    <t>Durante el segundo trimestre del año no se realizaron acciones “sensibilizar a los Bomberos de Colombia en prevención de violencia, discriminación en contra de las mujeres y población vulnerable”.</t>
  </si>
  <si>
    <t>Para el cumplimiento de la Meta Anual (2 departamentos sensibilizados), se tienen programadas dos sesiones en los departamentos del Valle del Cauca y la Guajira en los meses de Noviembre y Diciembre respectivamente.  Se trata de las Jornadas: "Sensibilización en equidad de género, prevención de violencias contra la mujer y rutas de atención, masculinidades y cultura de paz dirigida a los cuerpos de bomberos" en los departamentos mencionados.</t>
  </si>
  <si>
    <t>Se realizaron dos sesiones en los departamentos del Valle del Cauca y la Guajira en los meses de Noviembre y Diciembre respectivamente.  Se trata de las Jornadas: "Sensibilización en equidad de género, prevención de violencias contra la mujer y rutas de atención, masculinidades y cultura de paz dirigida a los cuerpos de bomberos" en los departamentos mencionados.</t>
  </si>
  <si>
    <t>Se cierra el año 2023 con la realización de dos sensibilizaciones en Departamentos del territorio nacional  en prevención de violencia y discriminación en contra de las mujeres y población vulnerable : Valle del Cauca y la Guajira</t>
  </si>
  <si>
    <t xml:space="preserve">Se realizaron en el trimestre 3 sensibilizaciones en Departamentos:
Abril Departamento del Atlántico: El día 29 de abril del año en curso, se realiza “SENSIBILIZACIÓNES: EQUIDAD DE GÉNERO, PREVENCIÓN DE VIOLENCIAS CONTRA LA MUJER, RUTAS DE ATENCIÓN, SORORIDAD, MASCULINIDADES Y CULTURA DE PAZ”, este curso contó con la participación de 32 hombres y 20 mujeres de los cuerpos de bomberos de los municipios de Barranquilla, Puerto Colombia, Baranoa y Galapa.
Mayo - Encuentro Virtual. Realizado el día 22 de mayo, con el tema de la sororidad solidaridad femenina, el cual contó con la participación de 22 mujeres comandantes, destacando la necesidad de la ayuda entre mujeres, el reconocimiento y el respeto. De esta manera se hace efectivo el proceso para la articulación interinstitucional para la defensa de los derechos de las mujeres, la lucha contra las violencias y el fortalecimiento de la equidad de género al interior de los cuerpos de bomberos del país.
Junio:Departamento de Caquetá: El día 12 de junio de 2024, se realiza en modalidad virtual y presencial el curso sobre “Conceptos básicos en equidad de género para bomberos Colombia”. Este curso contó con la participación de 26 mujeres y 20 hombres. Se desarrollan las temáticas propuestas de acciones en pro de la equidad de género y la defensa de los derechos de las mujeres a nivel local y regional.
Departamento de Córdoba: Se realiza el día 26 de junio en el cuerpo de bomberos voluntarios de Planeta Rica Córdoba. La actividad tuvo la participación de los municipios de Montelíbano, Ciénaga de Oro, Córdoba, Tierra Alta, Puerto Libertador, Sahagún, Lorica, La Apartada y Ayapel. Con la asistencia de 20 hombres y 18 mujeres en total.
 </t>
  </si>
  <si>
    <t xml:space="preserve">Actividades Programa Equidad de Género
Julio:
 Departamento de Caldas
Cuerpo de Bomberos Voluntarios de Riosucio (Caldas)
Tema: Sensibilización Equidad de Género dirigida a Hombres y mujeres indigenas.
Asistentes: 6 mujeres y 15 hombres (21 personas)
Departamento Caquetá
Actividad Virtual
Tema: Curso Conceptos Equidad de Género
Cuerpo de Bomberos Florencia (Caquetá)
Asistentes: 10 mujeres y 6 hombres (16 personas)
Agosto:
Departamento de Cauca
Cuerpos de bomberos: Timbío, Santander de Quilichao, Santa Rosa, Popayán, Miranda,  Balboa, La Sierra, Rosas, Sotara, Corinto, Inzá, Sucre, Caloto, El Bordo, Caldono.
Tema: Sensibilización Equidad de Género Departamento del Cauca
Asistentes: 64 mujeres y 29 hombres (93 personas)
Departamento de Córdoba
Actividad Virtual
Tema: Curso Conceptos Básicos Equidad de Género
Cuerpos de bomberos: Montelibano, Ayapel, Puerto Libertador, Ciénaga de Oro, Córdoba, Pueblo Nuevo, Sahagun, Puerto Rico, Santa Cruz, Tierralta.
Asistentes: 25 mujeres y 155 hombres (180 personas)
Septiembre:
Departamento de Vichada
Cuerpos de bomberos: La Primavera, Santa Rosalía, Puerto Carreño.
Tema: Sensibilización Equidad de Género Departamento del Vichada
Asistentes: 18 mujeres y 8 hombres (26 personas)
Departamento de Caldas
Cuerpos de bomberos: Villamaría, Samana, Risucio, Aguadas, Chinchiná, Manizales.
Tema: Sensibilización Equidad de Género Departamento del Caldas
Asistentes: 16 mujeres y 43 hombres (59 personas)
 </t>
  </si>
  <si>
    <t>Octubre: Curso sensibilización sobre equidad de género prevención de las violencias contra las mujeres, rutas de atención, derechos, sororidad (solidaridad femenina) dirigido a los y las comandantes de los cuerpos de bomberos la región de la amazonia y Orinoquia 
Participantes 18 mujeres bomberas, 10 hombres bomberos.
Departamentos: Casanare, Villavicencio, Caquetá
Noviembre: Curso sensibilización en conmemoración del Día Internacional del Bombero, en el marco del Programa Nacional de Equidad de Género de la DNBC, resaltando el papel de las mujeres en las instituciones bomberiles de Colombia.
Lugar: Instalaciones DNBC Bogotá 
Participantes: 24 personas, 18 mujeres y 6 hombres
Bomberos Voluntarios Bogotá, Bomberos Mosquera, funcionarios DNBC
Diciembre: Bogotá
Curso para Mujeres sobre conducción y operación de vehículos.
Lugar: Bogotá – Cuerpo Oficial de Bomberos Bogotá UAE COBB
Participantes: 25 mujeres</t>
  </si>
  <si>
    <t>Durante la vigencia 2024 se sensibilizaron 11 Departamentos del territorio nacional en temáticas de equidad de género</t>
  </si>
  <si>
    <t>Imprenta Nacional de Colombia</t>
  </si>
  <si>
    <t>Dirección Nacional de Derechos de Autor</t>
  </si>
  <si>
    <t>Unidad Nacional de Protección</t>
  </si>
  <si>
    <t>2 DE 2</t>
  </si>
  <si>
    <t>Seguimiento al Plan Estratégico Sectorial del Interior 2023-2026</t>
  </si>
  <si>
    <r>
      <rPr>
        <b/>
        <sz val="11"/>
        <color theme="1"/>
        <rFont val="Calibri"/>
        <family val="2"/>
        <scheme val="minor"/>
      </rPr>
      <t>Fecha de corte:</t>
    </r>
    <r>
      <rPr>
        <sz val="11"/>
        <color theme="1"/>
        <rFont val="Calibri"/>
        <family val="2"/>
        <scheme val="minor"/>
      </rPr>
      <t xml:space="preserve"> 31 de marzo de 2025</t>
    </r>
  </si>
  <si>
    <r>
      <rPr>
        <b/>
        <sz val="11"/>
        <color theme="1"/>
        <rFont val="Calibri"/>
        <family val="2"/>
        <scheme val="minor"/>
      </rPr>
      <t xml:space="preserve">Fuente: </t>
    </r>
    <r>
      <rPr>
        <sz val="11"/>
        <color theme="1"/>
        <rFont val="Calibri"/>
        <family val="2"/>
        <scheme val="minor"/>
      </rPr>
      <t>Oficina Asesora de Planeación</t>
    </r>
    <r>
      <rPr>
        <b/>
        <sz val="11"/>
        <color theme="1"/>
        <rFont val="Calibri"/>
        <family val="2"/>
        <scheme val="minor"/>
      </rPr>
      <t xml:space="preserve">                                                       Datos:</t>
    </r>
    <r>
      <rPr>
        <sz val="11"/>
        <color theme="1"/>
        <rFont val="Calibri"/>
        <family val="2"/>
        <scheme val="minor"/>
      </rPr>
      <t xml:space="preserve"> Entidades del sector Interior</t>
    </r>
  </si>
  <si>
    <r>
      <rPr>
        <b/>
        <sz val="11"/>
        <color theme="1"/>
        <rFont val="Calibri"/>
        <family val="2"/>
        <scheme val="minor"/>
      </rPr>
      <t>Fecha de informe:</t>
    </r>
    <r>
      <rPr>
        <sz val="11"/>
        <color theme="1"/>
        <rFont val="Calibri"/>
        <family val="2"/>
        <scheme val="minor"/>
      </rPr>
      <t xml:space="preserve"> </t>
    </r>
  </si>
  <si>
    <t>Medición y Resultados</t>
  </si>
  <si>
    <t>Escala de tolerancia del porcentaje de avance</t>
  </si>
  <si>
    <t>Descripción</t>
  </si>
  <si>
    <t>La fuente de información cuantitativa y cualitativa fue suministrada por los responsables del reporte de las entidades adscritas y vinculadas, y por las Direcciones del Ministerio del Interior.</t>
  </si>
  <si>
    <t>Rojo</t>
  </si>
  <si>
    <t>&lt;=0% X &lt;1%</t>
  </si>
  <si>
    <t>Incumplimiento</t>
  </si>
  <si>
    <t>Las casillas donde aparece "No aplica" hace referencia a que la dependencia no tiene indicadores de producto y/o gestión. De igual forma, indica que la dependencia no programó para el trimestre.</t>
  </si>
  <si>
    <t>Naranja</t>
  </si>
  <si>
    <t>1%&lt;= X &lt; 60%</t>
  </si>
  <si>
    <t>Cumplimiento Insuficiente</t>
  </si>
  <si>
    <t>Para el cálculo del promedio del avance de las metas de producto, se incluyen los indicadores de tipo "Resultado".</t>
  </si>
  <si>
    <t>Amarillo</t>
  </si>
  <si>
    <t>60% &lt;= X &lt; 80%</t>
  </si>
  <si>
    <t>Cumplimiento Promedio</t>
  </si>
  <si>
    <t>Azul</t>
  </si>
  <si>
    <t>80% &lt;= X &lt;100%</t>
  </si>
  <si>
    <t>Cumplimiento Aceptable</t>
  </si>
  <si>
    <t>Verde</t>
  </si>
  <si>
    <t>Cumplimiento Sobresaliente</t>
  </si>
  <si>
    <t>AVANCE TRIMESTRAL AÑO 2025</t>
  </si>
  <si>
    <t>I Trimestre</t>
  </si>
  <si>
    <t>II Trimestre</t>
  </si>
  <si>
    <t>III Trimestre</t>
  </si>
  <si>
    <t>IV Trimestre</t>
  </si>
  <si>
    <t>Avance Año 20XX</t>
  </si>
  <si>
    <t>Objetivos estratégicos Sectoriales</t>
  </si>
  <si>
    <t>Promedio de avance de las apuestas sectoriales</t>
  </si>
  <si>
    <t>Promedio de avance de las metas de producto por apuestas sectoriales</t>
  </si>
  <si>
    <t>Promedio de avance de las metas de Gestión por apuestas sectoriales</t>
  </si>
  <si>
    <t>Promedio de avance de las iniciativas</t>
  </si>
  <si>
    <t>Promedio de avance de las metas de producto por iniciativa</t>
  </si>
  <si>
    <t>Promedio de avance de las metas de Gestión por iniciativa</t>
  </si>
  <si>
    <t>1. Garantizar la seguridad jurídica y la efectiva divulgación normativa de las ramas del poder público</t>
  </si>
  <si>
    <t>2. Propiciar la seguridad y convivencia ciudadana, el orden público, así como la atención y control en situaciones que vulneren o amenacen a la población</t>
  </si>
  <si>
    <t>3. Fortalecer la articulación entre la Nación y el territorio, promoviendo la gobernabilidad, la democracia, el respeto por la libertad de cultos, la participación social, política y comunitaria</t>
  </si>
  <si>
    <t>4. Promover y proteger los derechos humanos, especialmente la vida, la libertad, la seguridad, así como los derechos de autor y conexos, fundamentados en la cultura de legalidad y emprendimiento</t>
  </si>
  <si>
    <t>5. Fortalecer el diálogo social e intercultural Estado – Comunidades, garantizando el derecho fundamental a la consulta previa y promoviendo estrategias que contribuyan a la equidad y el desarrollo de los pueblos indígenas, Rrom; y comunidades Negras, Afrocolombianas, Raizales y Palenqueras</t>
  </si>
  <si>
    <t>6. Fortalecer la gestión y desempeño del Sector Interior</t>
  </si>
  <si>
    <t>Total</t>
  </si>
  <si>
    <t>AVANCE ACUMULADO POR VIGENCIA</t>
  </si>
  <si>
    <t>Año 2023</t>
  </si>
  <si>
    <t>Año 2024</t>
  </si>
  <si>
    <t>Año 2025</t>
  </si>
  <si>
    <t>Año 2026</t>
  </si>
  <si>
    <t>Avance Cuatrienio</t>
  </si>
  <si>
    <t>Entidades</t>
  </si>
  <si>
    <t>Sector Interior</t>
  </si>
  <si>
    <t>Avance Año 2025</t>
  </si>
  <si>
    <t>100% &lt;= X</t>
  </si>
  <si>
    <r>
      <rPr>
        <b/>
        <sz val="9"/>
        <color theme="1"/>
        <rFont val="Calibri"/>
        <family val="2"/>
        <scheme val="minor"/>
      </rPr>
      <t>OAP 05.02.2025</t>
    </r>
    <r>
      <rPr>
        <sz val="9"/>
        <color theme="1"/>
        <rFont val="Calibri"/>
        <family val="2"/>
        <scheme val="minor"/>
      </rPr>
      <t>: Con ocasión al seguimiento del PES correspondiente al IV trimestre de 2024, y en atención a la solicitud realizada por la DNBC se modifica el valor presupuestal apropiado para la apuesta sectorial 1. De conformidad con el acta No. 004 de 19 de septiembre de 2024 de la junta Nacional de Bomberos de Colombia.</t>
    </r>
  </si>
  <si>
    <r>
      <rPr>
        <b/>
        <sz val="9"/>
        <color theme="1"/>
        <rFont val="Calibri"/>
        <family val="2"/>
        <scheme val="minor"/>
      </rPr>
      <t>OAP 05.02.2025</t>
    </r>
    <r>
      <rPr>
        <sz val="9"/>
        <color theme="1"/>
        <rFont val="Calibri"/>
        <family val="2"/>
        <scheme val="minor"/>
      </rPr>
      <t xml:space="preserve">: Con ocasión al seguimiento del PES correspondiente al IV trimestre de 2024, y en atención a la solicitud realizada por la DNBC se modifica (Reduce) el valor presupuestal apropiado para la apuesta sectorial 2. De conformidad con el acta No. 004 de 19 de septiembre de 2024 de la junta Nacional de Bomberos de Colombia. </t>
    </r>
  </si>
  <si>
    <r>
      <rPr>
        <b/>
        <sz val="9"/>
        <color theme="1"/>
        <rFont val="Calibri"/>
        <family val="2"/>
        <scheme val="minor"/>
      </rPr>
      <t>OAP 05.02.2025</t>
    </r>
    <r>
      <rPr>
        <sz val="9"/>
        <color theme="1"/>
        <rFont val="Calibri"/>
        <family val="2"/>
        <scheme val="minor"/>
      </rPr>
      <t xml:space="preserve">: Con ocasión al seguimiento del PES correspondiente al IV trimestre de 2024, y en atención a la solicitud realizada por la DNBC se modifica el valor presupuestal apropiado para la apuesta sectorial 5. De conformidad con el acta No. 004 de 19 de septiembre de 2024 de la junta Nacional de Bomberos de Colombia. </t>
    </r>
  </si>
  <si>
    <t>Mayo: Se gestionan procesos de acompañamiento en la formulacion y revision de los proyectos de fortalecimiento en infraestructura para los Cuerpos de Bomberos del País.
Junio: Asesoría y acompañamiento proceso de infraestructura contrucción estaciones de Bomberos.</t>
  </si>
  <si>
    <t>Durante el segundo trimestre de 2025, se prestó asesoría, acompañamiento jurídico, técnico y administrativo a los 841 Cuerpos de Bomberos del País, en asuntos relacionados con la prestación del servicio público bomberil, la creación de nuevos Cuerpos de Bomberos y de Fondos Departamentales de Bomberos, se generaron lineamientos y disposiciones normativas en asuntos relacionados con la actividad bomberil, se produjeron Planes de contingencia de temporadas de variabilidad climática, se adelantaron procesos de trámites de reclamación de  Seguros de vida para voluntarios  de los Cuerpos de Bomberos, se gestionaron actividades relacionadas con el proceso de educación nacional para bomberos. Desde el interior de la entidad se generaron acciones fortalecimiento institucional de los procesos que integran la DNBC a fin de dar respuesta a nuestras partes interesadas en el marco de la misionalidad institucional.
Abril: 841 Cuerpos de Bomberos.
Mayo: 841 Cuerpos de Bomberos.
Junio: 841 Cuerpos de Bomberos</t>
  </si>
  <si>
    <t>En el segundo trimestre de 2025 se asesoraron y acompañaron en territorio 18 mesas técnicas en las cuales se abordaron temáticas relacionadas con la prestación del Servicio Público Bomberil en el Territorio Nacional
Abril:6 Mesas tecnicas en Amazonas, Catatumbo - Norte de Santander, San Martín - Cesar, Chinú - Córdona, Granada - Antioquia y Cabuyaro - Meta
Mayo:6 Mesas Técnicas en Oriente Antioqueño, Villa de Leyva y Soraca -  Boyacá, Santa Marta - Magdalena, Santos - Santander, Fomeque - Cundinamarca y Galapa - Atlántico
Junio:6 Mesas Técnicas en Tesalia , Tarqui - Huila, Anapoima - Cundinamarca. Aguazul - Casanare, San José de Guainia, Amazonas y Medellín</t>
  </si>
  <si>
    <t>Durante el segundo trimestre de 2025 se recibieron y gestionaron 5 solicitudes de apoyo aéreo y movilizaciones terrestres.
Apoyo aéreo. Manaure. 18 de abril. Incendio Forestal.
Solicitud de apoyo a Bomberos Tunja del componente k9 para búsqueda en Ramiriqui. 29 de mayo.
Gestión de apoyo de batallón de desastres por Solicitud de riesgo de Avenida Torrencial en el municipio de Pacho- Cundinamarca 3 de mayo
Solicitud de apoyo a PONALSAR para búsqueda y recuperación en Utica Cundinamarca. 29 de mayo.
Solicitud de apoyo de máquina de Bomberos a Bogotá para visita de verificación en San José de apartado. 3 de junio.
Abril . 1
Mayo: 3
Junio: 1</t>
  </si>
  <si>
    <t xml:space="preserve">Pare el primer trimeste del año 2025 no se tenia meta programada en cuanto a sensibilizar a los Bomberos de Colombia en prevención de violencia y discriminación en contra de las mujeres y población vulnerable </t>
  </si>
  <si>
    <t>Pare el primer trimeste del año 2025 no se tenia meta programada en cuanto a afianzar en los Bomberos de Colombia la formación, capacitación, entrenamiento y reentrenamiento bomberil</t>
  </si>
  <si>
    <t>Para el primer trimestre de 2025 no se tiene programado meta para el fortalecimiento a los Bomberos de Colombia con equipamiento especializado en la gestión integral del riesgo contra incendios, preparativos, rescates en todas sus modalidades, la atención en materiales peligrosos y la atención de emergencias.</t>
  </si>
  <si>
    <t>No se programo meta pare el primer trimeste del año 2025 para afianzar en los Bomberos de Colombia la formación, capacitación, entrenamiento y reentrenamiento bomberil</t>
  </si>
  <si>
    <t xml:space="preserve">Pare el segundo trimeste del año 2025 no se tiene meta programada en cuanto a sensibilizar a los Bomberos de Colombia en prevención de violencia y discriminación en contra de las mujeres y población vulnerable </t>
  </si>
  <si>
    <t>En el último trimestre de la vigencia, el proceso contractual que se venia adelantando con una entidad territorial para generar acciones de prevención de los cuerpos de bomberos a la comunidad, no se logró concretar debido a inconvenientes de tipo administrativo del ente territorial. No se adelantó gestión frente a los requerimientos técnicos planteados en la iniciativa, dado que su gestión estaba articulada al proceso contractual para llevar a cabo apoyo en procesos de prevención y trabajo con la comunidad a través de Cuerpos de Bomberos</t>
  </si>
  <si>
    <t>Lina María Marín Rodríguez
Directora Nacional de Bomberos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</si>
</sst>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quot;$&quot;* #,##0_-;\-&quot;$&quot;* #,##0_-;_-&quot;$&quot;* &quot;-&quot;_-;_-@_-"/>
    <numFmt numFmtId="166" formatCode="0.0%"/>
    <numFmt numFmtId="167" formatCode="&quot;$&quot;#,##0.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8"/>
      <color theme="4" tint="-0.499984740745262"/>
      <name val="Calibri"/>
      <family val="2"/>
      <scheme val="minor"/>
    </font>
    <font>
      <b/>
      <sz val="18"/>
      <color theme="0"/>
      <name val="Calibri"/>
      <family val="2"/>
      <scheme val="minor"/>
    </font>
    <font>
      <b/>
      <sz val="12"/>
      <color theme="1"/>
      <name val="Calibri"/>
      <family val="2"/>
      <scheme val="minor"/>
    </font>
    <font>
      <b/>
      <sz val="11"/>
      <color theme="4" tint="-0.499984740745262"/>
      <name val="Calibri"/>
      <family val="2"/>
      <scheme val="minor"/>
    </font>
    <font>
      <b/>
      <sz val="10"/>
      <color theme="0"/>
      <name val="Calibri"/>
      <family val="2"/>
      <scheme val="minor"/>
    </font>
    <font>
      <b/>
      <sz val="10"/>
      <color theme="4" tint="-0.499984740745262"/>
      <name val="Calibri"/>
      <family val="2"/>
      <scheme val="minor"/>
    </font>
    <font>
      <b/>
      <sz val="12"/>
      <color theme="4" tint="-0.499984740745262"/>
      <name val="Calibri"/>
      <family val="2"/>
      <scheme val="minor"/>
    </font>
    <font>
      <b/>
      <sz val="11"/>
      <color theme="1"/>
      <name val="Calibri"/>
      <family val="2"/>
      <scheme val="minor"/>
    </font>
    <font>
      <sz val="9"/>
      <color theme="1"/>
      <name val="Calibri"/>
      <family val="2"/>
      <scheme val="minor"/>
    </font>
    <font>
      <sz val="11"/>
      <color theme="1"/>
      <name val="Arial"/>
      <family val="2"/>
    </font>
    <font>
      <b/>
      <sz val="9"/>
      <color indexed="81"/>
      <name val="Tahoma"/>
      <family val="2"/>
    </font>
    <font>
      <sz val="9"/>
      <color indexed="81"/>
      <name val="Tahoma"/>
      <family val="2"/>
    </font>
    <font>
      <sz val="10"/>
      <color theme="1"/>
      <name val="Calibri"/>
      <family val="2"/>
      <scheme val="minor"/>
    </font>
    <font>
      <b/>
      <sz val="9"/>
      <color theme="1"/>
      <name val="Calibri"/>
      <family val="2"/>
      <scheme val="minor"/>
    </font>
    <font>
      <sz val="11"/>
      <color theme="1"/>
      <name val="Calibri"/>
      <family val="2"/>
    </font>
    <font>
      <b/>
      <sz val="12"/>
      <color theme="0"/>
      <name val="Calibri"/>
      <family val="2"/>
    </font>
    <font>
      <sz val="11"/>
      <color theme="1"/>
      <name val="Calibri Light"/>
      <family val="2"/>
      <scheme val="major"/>
    </font>
    <font>
      <b/>
      <sz val="11"/>
      <color theme="1"/>
      <name val="Arial"/>
      <family val="2"/>
    </font>
    <font>
      <sz val="12"/>
      <color theme="1"/>
      <name val="Calibri Light"/>
      <family val="2"/>
      <scheme val="major"/>
    </font>
    <font>
      <b/>
      <sz val="12"/>
      <color theme="0"/>
      <name val="Calibri"/>
      <family val="2"/>
      <scheme val="minor"/>
    </font>
    <font>
      <b/>
      <sz val="11"/>
      <color theme="0"/>
      <name val="Calibri"/>
      <family val="2"/>
    </font>
    <font>
      <b/>
      <sz val="14"/>
      <color theme="0"/>
      <name val="Calibri"/>
      <family val="2"/>
      <scheme val="minor"/>
    </font>
    <font>
      <b/>
      <sz val="11"/>
      <name val="Calibri"/>
      <family val="2"/>
    </font>
    <font>
      <b/>
      <sz val="14"/>
      <color theme="1"/>
      <name val="Calibri"/>
      <family val="2"/>
      <scheme val="minor"/>
    </font>
    <font>
      <sz val="10"/>
      <color theme="1"/>
      <name val="Arial"/>
      <family val="2"/>
    </font>
  </fonts>
  <fills count="26">
    <fill>
      <patternFill patternType="none"/>
    </fill>
    <fill>
      <patternFill patternType="gray125"/>
    </fill>
    <fill>
      <patternFill patternType="solid">
        <fgColor theme="4" tint="0.39997558519241921"/>
        <bgColor rgb="FFC4BD97"/>
      </patternFill>
    </fill>
    <fill>
      <patternFill patternType="solid">
        <fgColor theme="4" tint="-0.249977111117893"/>
        <bgColor rgb="FFC4BD97"/>
      </patternFill>
    </fill>
    <fill>
      <patternFill patternType="solid">
        <fgColor theme="5" tint="-0.249977111117893"/>
        <bgColor rgb="FFC4BD97"/>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rgb="FFC4BD97"/>
      </patternFill>
    </fill>
    <fill>
      <patternFill patternType="solid">
        <fgColor theme="2" tint="-0.249977111117893"/>
        <bgColor rgb="FFC4BD97"/>
      </patternFill>
    </fill>
    <fill>
      <patternFill patternType="solid">
        <fgColor theme="2" tint="-0.249977111117893"/>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39997558519241921"/>
        <bgColor rgb="FFC4BD97"/>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C00000"/>
        <bgColor indexed="64"/>
      </patternFill>
    </fill>
    <fill>
      <patternFill patternType="solid">
        <fgColor rgb="FFC00000"/>
        <bgColor theme="8"/>
      </patternFill>
    </fill>
    <fill>
      <patternFill patternType="solid">
        <fgColor theme="2" tint="-9.9978637043366805E-2"/>
        <bgColor indexed="64"/>
      </patternFill>
    </fill>
    <fill>
      <patternFill patternType="solid">
        <fgColor rgb="FFFF0000"/>
        <bgColor indexed="64"/>
      </patternFill>
    </fill>
    <fill>
      <patternFill patternType="solid">
        <fgColor rgb="FFFFC000"/>
        <bgColor indexed="64"/>
      </patternFill>
    </fill>
    <fill>
      <patternFill patternType="solid">
        <fgColor rgb="FF4472C4"/>
        <bgColor indexed="64"/>
      </patternFill>
    </fill>
    <fill>
      <patternFill patternType="solid">
        <fgColor rgb="FF92D050"/>
        <bgColor indexed="64"/>
      </patternFill>
    </fill>
    <fill>
      <patternFill patternType="solid">
        <fgColor theme="0"/>
        <bgColor theme="5"/>
      </patternFill>
    </fill>
    <fill>
      <patternFill patternType="solid">
        <fgColor theme="6"/>
        <bgColor theme="6"/>
      </patternFill>
    </fill>
    <fill>
      <patternFill patternType="solid">
        <fgColor theme="6" tint="0.59999389629810485"/>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auto="1"/>
      </left>
      <right/>
      <top/>
      <bottom/>
      <diagonal/>
    </border>
    <border>
      <left/>
      <right style="medium">
        <color indexed="64"/>
      </right>
      <top style="medium">
        <color indexed="64"/>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style="medium">
        <color theme="4" tint="-0.499984740745262"/>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theme="0"/>
      </left>
      <right/>
      <top/>
      <bottom/>
      <diagonal/>
    </border>
    <border>
      <left style="thin">
        <color theme="0"/>
      </left>
      <right/>
      <top/>
      <bottom style="thin">
        <color indexed="64"/>
      </bottom>
      <diagonal/>
    </border>
    <border>
      <left style="thin">
        <color theme="0"/>
      </left>
      <right style="thin">
        <color theme="0"/>
      </right>
      <top style="thin">
        <color theme="0"/>
      </top>
      <bottom style="thin">
        <color theme="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12"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0" fillId="0" borderId="2" xfId="0" applyBorder="1"/>
    <xf numFmtId="0" fontId="10" fillId="0" borderId="2" xfId="0" applyFont="1" applyBorder="1" applyAlignment="1">
      <alignment horizontal="center"/>
    </xf>
    <xf numFmtId="0" fontId="0" fillId="10" borderId="2" xfId="0" applyFill="1" applyBorder="1"/>
    <xf numFmtId="9" fontId="11" fillId="0" borderId="2" xfId="1" applyFont="1" applyFill="1" applyBorder="1" applyAlignment="1" applyProtection="1">
      <alignment horizontal="center" vertical="center" wrapText="1"/>
    </xf>
    <xf numFmtId="0" fontId="0" fillId="0" borderId="0" xfId="0" applyAlignment="1">
      <alignment horizontal="center"/>
    </xf>
    <xf numFmtId="166" fontId="11" fillId="9" borderId="2" xfId="1" applyNumberFormat="1" applyFont="1" applyFill="1" applyBorder="1" applyAlignment="1" applyProtection="1">
      <alignment horizontal="center" vertical="center" wrapText="1"/>
    </xf>
    <xf numFmtId="0" fontId="5"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left" vertical="center" wrapText="1"/>
    </xf>
    <xf numFmtId="0" fontId="19" fillId="0" borderId="29" xfId="0" applyFont="1" applyBorder="1" applyAlignment="1">
      <alignment horizontal="center" vertical="center"/>
    </xf>
    <xf numFmtId="0" fontId="20" fillId="18" borderId="31" xfId="0" applyFont="1" applyFill="1" applyBorder="1" applyAlignment="1">
      <alignment horizontal="center" vertical="center" wrapText="1"/>
    </xf>
    <xf numFmtId="0" fontId="19" fillId="0" borderId="0" xfId="0" applyFont="1" applyAlignment="1">
      <alignment horizontal="center" vertical="center"/>
    </xf>
    <xf numFmtId="0" fontId="12" fillId="19" borderId="33" xfId="0" applyFont="1" applyFill="1" applyBorder="1" applyAlignment="1">
      <alignment horizontal="justify" vertical="center" wrapText="1"/>
    </xf>
    <xf numFmtId="0" fontId="12" fillId="20" borderId="33" xfId="0" applyFont="1" applyFill="1" applyBorder="1" applyAlignment="1">
      <alignment horizontal="justify" vertical="center" wrapText="1"/>
    </xf>
    <xf numFmtId="0" fontId="12" fillId="14" borderId="33" xfId="0" applyFont="1" applyFill="1" applyBorder="1" applyAlignment="1">
      <alignment horizontal="justify" vertical="center" wrapText="1"/>
    </xf>
    <xf numFmtId="0" fontId="12" fillId="21" borderId="33" xfId="0" applyFont="1" applyFill="1" applyBorder="1" applyAlignment="1">
      <alignment horizontal="justify" vertical="center" wrapText="1"/>
    </xf>
    <xf numFmtId="0" fontId="12" fillId="22" borderId="33" xfId="0" applyFont="1" applyFill="1" applyBorder="1" applyAlignment="1">
      <alignment horizontal="justify"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2" fillId="0" borderId="0" xfId="0" applyFont="1" applyAlignment="1">
      <alignment horizontal="justify" vertical="center" wrapText="1"/>
    </xf>
    <xf numFmtId="0" fontId="22" fillId="16" borderId="5" xfId="0" applyFont="1" applyFill="1" applyBorder="1" applyAlignment="1">
      <alignment vertical="center"/>
    </xf>
    <xf numFmtId="0" fontId="22" fillId="0" borderId="0" xfId="0" applyFont="1" applyAlignment="1">
      <alignment vertical="center"/>
    </xf>
    <xf numFmtId="0" fontId="10" fillId="0" borderId="0" xfId="0" applyFont="1" applyAlignment="1">
      <alignment horizontal="center" vertical="center" wrapText="1"/>
    </xf>
    <xf numFmtId="10" fontId="23" fillId="0" borderId="0" xfId="0" applyNumberFormat="1" applyFont="1" applyAlignment="1">
      <alignment horizontal="center" vertical="center" wrapText="1"/>
    </xf>
    <xf numFmtId="0" fontId="24" fillId="16" borderId="2" xfId="0" applyFont="1" applyFill="1" applyBorder="1" applyAlignment="1">
      <alignment horizontal="center" vertical="center" wrapText="1"/>
    </xf>
    <xf numFmtId="10" fontId="23" fillId="17" borderId="37" xfId="0" applyNumberFormat="1" applyFont="1" applyFill="1" applyBorder="1" applyAlignment="1">
      <alignment horizontal="center" vertical="center" wrapText="1"/>
    </xf>
    <xf numFmtId="10" fontId="25" fillId="23" borderId="2" xfId="0" applyNumberFormat="1" applyFont="1" applyFill="1" applyBorder="1" applyAlignment="1">
      <alignment horizontal="center" vertical="center" wrapText="1"/>
    </xf>
    <xf numFmtId="10" fontId="23" fillId="24" borderId="38" xfId="0" applyNumberFormat="1" applyFont="1" applyFill="1" applyBorder="1" applyAlignment="1">
      <alignment horizontal="center" vertical="center" wrapText="1"/>
    </xf>
    <xf numFmtId="10" fontId="23" fillId="17" borderId="2" xfId="0" applyNumberFormat="1" applyFont="1" applyFill="1" applyBorder="1" applyAlignment="1">
      <alignment horizontal="center" vertical="center" wrapText="1"/>
    </xf>
    <xf numFmtId="0" fontId="1" fillId="13" borderId="0" xfId="0" applyFont="1" applyFill="1" applyAlignment="1">
      <alignment vertical="center"/>
    </xf>
    <xf numFmtId="0" fontId="15" fillId="13" borderId="2" xfId="0" applyFont="1" applyFill="1" applyBorder="1" applyAlignment="1">
      <alignment vertical="center" wrapText="1"/>
    </xf>
    <xf numFmtId="166" fontId="0" fillId="13" borderId="37" xfId="0" applyNumberFormat="1" applyFill="1" applyBorder="1" applyAlignment="1">
      <alignment horizontal="center" vertical="center"/>
    </xf>
    <xf numFmtId="166" fontId="0" fillId="13" borderId="2" xfId="0" applyNumberFormat="1" applyFill="1" applyBorder="1" applyAlignment="1">
      <alignment horizontal="center" vertical="center"/>
    </xf>
    <xf numFmtId="166" fontId="0" fillId="13" borderId="38" xfId="0" applyNumberFormat="1" applyFill="1" applyBorder="1" applyAlignment="1">
      <alignment horizontal="center" vertical="center"/>
    </xf>
    <xf numFmtId="166" fontId="0" fillId="0" borderId="0" xfId="0" applyNumberFormat="1" applyAlignment="1">
      <alignment horizontal="center" vertical="center"/>
    </xf>
    <xf numFmtId="0" fontId="0" fillId="13" borderId="0" xfId="0" applyFill="1"/>
    <xf numFmtId="166" fontId="17" fillId="13" borderId="0" xfId="0" applyNumberFormat="1" applyFont="1" applyFill="1" applyAlignment="1">
      <alignment horizontal="center" vertical="center"/>
    </xf>
    <xf numFmtId="0" fontId="5" fillId="25" borderId="2" xfId="0" applyFont="1" applyFill="1" applyBorder="1" applyAlignment="1">
      <alignment horizontal="center" vertical="center" wrapText="1"/>
    </xf>
    <xf numFmtId="9" fontId="5" fillId="25" borderId="39" xfId="0" applyNumberFormat="1" applyFont="1" applyFill="1" applyBorder="1" applyAlignment="1">
      <alignment horizontal="center" vertical="center"/>
    </xf>
    <xf numFmtId="166" fontId="5" fillId="0" borderId="0" xfId="0" applyNumberFormat="1" applyFont="1" applyAlignment="1">
      <alignment horizontal="center" vertical="center"/>
    </xf>
    <xf numFmtId="0" fontId="22" fillId="0" borderId="0" xfId="0" applyFont="1" applyAlignment="1">
      <alignment horizontal="center"/>
    </xf>
    <xf numFmtId="166" fontId="0" fillId="13" borderId="40" xfId="0" applyNumberFormat="1" applyFill="1" applyBorder="1" applyAlignment="1">
      <alignment horizontal="center" vertical="center"/>
    </xf>
    <xf numFmtId="166" fontId="0" fillId="13" borderId="41" xfId="0" applyNumberFormat="1" applyFill="1" applyBorder="1" applyAlignment="1">
      <alignment horizontal="center" vertical="center"/>
    </xf>
    <xf numFmtId="166" fontId="0" fillId="13" borderId="42" xfId="0" applyNumberFormat="1" applyFill="1" applyBorder="1" applyAlignment="1">
      <alignment horizontal="center" vertical="center"/>
    </xf>
    <xf numFmtId="166" fontId="5" fillId="25" borderId="43" xfId="0" applyNumberFormat="1" applyFont="1" applyFill="1" applyBorder="1" applyAlignment="1">
      <alignment horizontal="center" vertical="center"/>
    </xf>
    <xf numFmtId="0" fontId="1" fillId="0" borderId="0" xfId="0" applyFont="1" applyAlignment="1">
      <alignment vertical="center" wrapText="1"/>
    </xf>
    <xf numFmtId="0" fontId="24" fillId="16" borderId="1" xfId="0" applyFont="1" applyFill="1" applyBorder="1" applyAlignment="1">
      <alignment horizontal="center" vertical="center" wrapText="1"/>
    </xf>
    <xf numFmtId="0" fontId="1" fillId="13" borderId="44" xfId="0" applyFont="1" applyFill="1" applyBorder="1" applyAlignment="1">
      <alignment vertical="center" wrapText="1"/>
    </xf>
    <xf numFmtId="166" fontId="0" fillId="13" borderId="19" xfId="0" applyNumberFormat="1" applyFill="1" applyBorder="1" applyAlignment="1">
      <alignment horizontal="center" vertical="center"/>
    </xf>
    <xf numFmtId="0" fontId="26" fillId="25" borderId="45" xfId="0" applyFont="1" applyFill="1" applyBorder="1" applyAlignment="1">
      <alignment horizontal="center" vertical="center" wrapText="1"/>
    </xf>
    <xf numFmtId="166" fontId="5" fillId="25" borderId="46" xfId="0" applyNumberFormat="1" applyFont="1" applyFill="1" applyBorder="1" applyAlignment="1">
      <alignment horizontal="center" vertical="center"/>
    </xf>
    <xf numFmtId="166" fontId="5" fillId="25" borderId="47" xfId="0" applyNumberFormat="1" applyFont="1" applyFill="1" applyBorder="1" applyAlignment="1">
      <alignment horizontal="center" vertical="center"/>
    </xf>
    <xf numFmtId="0" fontId="1" fillId="13" borderId="37" xfId="0" applyFont="1" applyFill="1" applyBorder="1" applyAlignment="1">
      <alignment vertical="center" wrapText="1"/>
    </xf>
    <xf numFmtId="0" fontId="26" fillId="25" borderId="47" xfId="0" applyFont="1" applyFill="1" applyBorder="1" applyAlignment="1">
      <alignment horizontal="center" vertical="center" wrapText="1"/>
    </xf>
    <xf numFmtId="9" fontId="11" fillId="15" borderId="2" xfId="1" applyFont="1" applyFill="1" applyBorder="1" applyAlignment="1" applyProtection="1">
      <alignment horizontal="center" vertical="center" wrapText="1"/>
    </xf>
    <xf numFmtId="1" fontId="11" fillId="15" borderId="2" xfId="1" applyNumberFormat="1" applyFont="1" applyFill="1" applyBorder="1" applyAlignment="1" applyProtection="1">
      <alignment horizontal="center" vertical="center" wrapText="1"/>
    </xf>
    <xf numFmtId="0" fontId="27" fillId="0" borderId="2" xfId="0" applyFont="1" applyBorder="1" applyAlignment="1">
      <alignment horizontal="center" vertical="center" wrapText="1"/>
    </xf>
    <xf numFmtId="0" fontId="27" fillId="0" borderId="38" xfId="0" applyFont="1" applyBorder="1" applyAlignment="1">
      <alignment horizontal="center" vertical="center" wrapText="1"/>
    </xf>
    <xf numFmtId="49" fontId="27" fillId="0" borderId="46" xfId="1" applyNumberFormat="1" applyFont="1" applyBorder="1" applyAlignment="1">
      <alignment horizontal="center" vertical="center" wrapText="1"/>
    </xf>
    <xf numFmtId="0" fontId="27" fillId="0" borderId="43" xfId="0" applyFont="1" applyBorder="1" applyAlignment="1">
      <alignment horizontal="center" vertical="center" wrapText="1"/>
    </xf>
    <xf numFmtId="0" fontId="10" fillId="0" borderId="0" xfId="0" applyFont="1" applyAlignment="1">
      <alignment horizontal="center"/>
    </xf>
    <xf numFmtId="0" fontId="0" fillId="0" borderId="0" xfId="0" applyAlignment="1">
      <alignment wrapText="1"/>
    </xf>
    <xf numFmtId="0" fontId="8" fillId="12" borderId="14"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5" borderId="14" xfId="0" applyFont="1" applyFill="1" applyBorder="1" applyAlignment="1">
      <alignment horizontal="centerContinuous" vertical="center" wrapText="1"/>
    </xf>
    <xf numFmtId="0" fontId="8" fillId="5" borderId="14" xfId="0" applyFont="1" applyFill="1" applyBorder="1" applyAlignment="1">
      <alignment horizontal="center" vertical="center" wrapText="1"/>
    </xf>
    <xf numFmtId="0" fontId="8" fillId="12" borderId="14" xfId="0" applyFont="1" applyFill="1" applyBorder="1" applyAlignment="1">
      <alignment horizontal="centerContinuous" vertical="center" wrapText="1"/>
    </xf>
    <xf numFmtId="0" fontId="8" fillId="5" borderId="17" xfId="0" applyFont="1" applyFill="1" applyBorder="1" applyAlignment="1">
      <alignment horizontal="centerContinuous" vertical="center" wrapText="1"/>
    </xf>
    <xf numFmtId="0" fontId="8" fillId="12" borderId="17" xfId="0" applyFont="1" applyFill="1" applyBorder="1" applyAlignment="1">
      <alignment horizontal="centerContinuous" vertical="center" wrapText="1"/>
    </xf>
    <xf numFmtId="0" fontId="8" fillId="12" borderId="6" xfId="0" applyFont="1" applyFill="1" applyBorder="1" applyAlignment="1">
      <alignment horizontal="centerContinuous" vertical="center" wrapText="1"/>
    </xf>
    <xf numFmtId="0" fontId="11" fillId="0" borderId="2" xfId="0" applyFont="1" applyBorder="1" applyAlignment="1">
      <alignment horizontal="center" vertical="center" wrapText="1"/>
    </xf>
    <xf numFmtId="9" fontId="11" fillId="0" borderId="2" xfId="0" applyNumberFormat="1" applyFont="1" applyBorder="1" applyAlignment="1">
      <alignment horizontal="center" vertical="center" wrapText="1"/>
    </xf>
    <xf numFmtId="0" fontId="11" fillId="15" borderId="2" xfId="0" applyFont="1" applyFill="1" applyBorder="1" applyAlignment="1">
      <alignment horizontal="center" vertical="center" wrapText="1"/>
    </xf>
    <xf numFmtId="14" fontId="11" fillId="15" borderId="2" xfId="0" applyNumberFormat="1" applyFont="1" applyFill="1" applyBorder="1" applyAlignment="1">
      <alignment horizontal="center" vertical="center" wrapText="1"/>
    </xf>
    <xf numFmtId="9" fontId="11" fillId="15" borderId="2"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9" fontId="11" fillId="0" borderId="2" xfId="0" applyNumberFormat="1" applyFont="1" applyBorder="1" applyAlignment="1">
      <alignment horizontal="left" vertical="center" wrapText="1"/>
    </xf>
    <xf numFmtId="0" fontId="11" fillId="0" borderId="0" xfId="0" applyFont="1" applyAlignment="1">
      <alignment horizontal="center" vertical="center"/>
    </xf>
    <xf numFmtId="1" fontId="11" fillId="15" borderId="2" xfId="0" applyNumberFormat="1" applyFont="1" applyFill="1" applyBorder="1" applyAlignment="1">
      <alignment horizontal="center" vertical="center" wrapText="1"/>
    </xf>
    <xf numFmtId="1" fontId="11" fillId="0" borderId="2" xfId="0" applyNumberFormat="1" applyFont="1" applyBorder="1" applyAlignment="1">
      <alignment horizontal="center" vertical="center" wrapText="1"/>
    </xf>
    <xf numFmtId="0" fontId="11" fillId="0" borderId="2" xfId="0" applyFont="1" applyBorder="1" applyAlignment="1">
      <alignment wrapText="1"/>
    </xf>
    <xf numFmtId="1" fontId="11" fillId="0" borderId="2" xfId="0" applyNumberFormat="1" applyFont="1" applyBorder="1" applyAlignment="1">
      <alignment horizontal="left" vertical="center" wrapText="1"/>
    </xf>
    <xf numFmtId="0" fontId="11" fillId="15" borderId="2" xfId="0" applyFont="1" applyFill="1" applyBorder="1" applyAlignment="1">
      <alignment horizontal="justify" vertical="center"/>
    </xf>
    <xf numFmtId="9" fontId="11" fillId="5" borderId="2" xfId="0" applyNumberFormat="1" applyFont="1" applyFill="1" applyBorder="1" applyAlignment="1" applyProtection="1">
      <alignment horizontal="center" vertical="center" wrapText="1"/>
      <protection locked="0"/>
    </xf>
    <xf numFmtId="1" fontId="11" fillId="5" borderId="2" xfId="0" applyNumberFormat="1" applyFont="1" applyFill="1" applyBorder="1" applyAlignment="1" applyProtection="1">
      <alignment horizontal="center" vertical="center" wrapText="1"/>
      <protection locked="0"/>
    </xf>
    <xf numFmtId="167" fontId="11" fillId="0" borderId="2" xfId="6" applyNumberFormat="1" applyFont="1" applyFill="1" applyBorder="1" applyAlignment="1" applyProtection="1">
      <alignment horizontal="center" vertical="center" wrapText="1"/>
    </xf>
    <xf numFmtId="167" fontId="11" fillId="5" borderId="2" xfId="6" applyNumberFormat="1" applyFont="1" applyFill="1" applyBorder="1" applyAlignment="1" applyProtection="1">
      <alignment horizontal="center" vertical="center" wrapText="1"/>
      <protection locked="0"/>
    </xf>
    <xf numFmtId="167" fontId="11" fillId="0" borderId="2" xfId="0" applyNumberFormat="1" applyFont="1" applyBorder="1" applyAlignment="1">
      <alignment horizontal="center" vertical="center" wrapText="1"/>
    </xf>
    <xf numFmtId="9" fontId="11" fillId="5" borderId="2" xfId="0" applyNumberFormat="1" applyFont="1" applyFill="1" applyBorder="1" applyAlignment="1" applyProtection="1">
      <alignment horizontal="justify" vertical="center" wrapText="1"/>
      <protection locked="0"/>
    </xf>
    <xf numFmtId="0" fontId="11" fillId="15" borderId="2" xfId="0" applyFont="1" applyFill="1" applyBorder="1" applyAlignment="1">
      <alignment horizontal="justify" vertical="center" wrapText="1"/>
    </xf>
    <xf numFmtId="167" fontId="0" fillId="0" borderId="0" xfId="0" applyNumberFormat="1"/>
    <xf numFmtId="9" fontId="0" fillId="0" borderId="0" xfId="1" applyFont="1" applyAlignment="1">
      <alignment horizontal="center"/>
    </xf>
    <xf numFmtId="43" fontId="11" fillId="0" borderId="2" xfId="8" applyFont="1" applyBorder="1" applyAlignment="1">
      <alignment vertical="center" wrapText="1"/>
    </xf>
    <xf numFmtId="0" fontId="11" fillId="5" borderId="2" xfId="0" applyFont="1" applyFill="1" applyBorder="1" applyAlignment="1" applyProtection="1">
      <alignment horizontal="center" vertical="center" wrapText="1"/>
      <protection locked="0"/>
    </xf>
    <xf numFmtId="0" fontId="8" fillId="8" borderId="14"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3" fillId="10" borderId="13" xfId="0" applyFont="1" applyFill="1" applyBorder="1" applyAlignment="1">
      <alignment horizontal="center" vertical="center"/>
    </xf>
    <xf numFmtId="0" fontId="3" fillId="10" borderId="4"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3" fillId="11" borderId="11" xfId="0" applyFont="1" applyFill="1" applyBorder="1" applyAlignment="1">
      <alignment horizontal="center" vertical="center"/>
    </xf>
    <xf numFmtId="0" fontId="3" fillId="11" borderId="3" xfId="0" applyFont="1" applyFill="1" applyBorder="1" applyAlignment="1">
      <alignment horizontal="center" vertical="center"/>
    </xf>
    <xf numFmtId="0" fontId="3" fillId="11" borderId="12" xfId="0" applyFont="1" applyFill="1" applyBorder="1" applyAlignment="1">
      <alignment horizontal="center" vertical="center"/>
    </xf>
    <xf numFmtId="0" fontId="8" fillId="12" borderId="14"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0" fillId="0" borderId="2" xfId="0" applyBorder="1" applyAlignment="1">
      <alignment horizont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xf>
    <xf numFmtId="0" fontId="8" fillId="7" borderId="14"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9" borderId="1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15"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16"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14" fontId="5" fillId="0" borderId="2" xfId="0" applyNumberFormat="1" applyFont="1" applyBorder="1" applyAlignment="1">
      <alignment horizontal="center"/>
    </xf>
    <xf numFmtId="0" fontId="18" fillId="17" borderId="28" xfId="0" applyFont="1" applyFill="1" applyBorder="1" applyAlignment="1">
      <alignment horizontal="center" vertical="center" wrapText="1"/>
    </xf>
    <xf numFmtId="0" fontId="18" fillId="17" borderId="23" xfId="0" applyFont="1" applyFill="1" applyBorder="1" applyAlignment="1">
      <alignment horizontal="center" vertical="center" wrapText="1"/>
    </xf>
    <xf numFmtId="0" fontId="20" fillId="18" borderId="30" xfId="0" applyFont="1" applyFill="1" applyBorder="1" applyAlignment="1">
      <alignment horizontal="center" vertical="center" wrapText="1"/>
    </xf>
    <xf numFmtId="0" fontId="20" fillId="18" borderId="31" xfId="0" applyFont="1" applyFill="1" applyBorder="1" applyAlignment="1">
      <alignment horizontal="center" vertical="center" wrapText="1"/>
    </xf>
    <xf numFmtId="0" fontId="1" fillId="0" borderId="2"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5" fillId="0" borderId="21" xfId="0" applyFont="1" applyBorder="1" applyAlignment="1">
      <alignment horizontal="center"/>
    </xf>
    <xf numFmtId="0" fontId="5" fillId="0" borderId="0" xfId="0" applyFont="1" applyAlignment="1">
      <alignment horizontal="center"/>
    </xf>
    <xf numFmtId="0" fontId="5" fillId="0" borderId="22" xfId="0" applyFont="1" applyBorder="1" applyAlignment="1">
      <alignment horizontal="center"/>
    </xf>
    <xf numFmtId="0" fontId="5" fillId="0" borderId="20" xfId="0" applyFont="1" applyBorder="1" applyAlignment="1">
      <alignment horizontal="center"/>
    </xf>
    <xf numFmtId="0" fontId="5" fillId="0" borderId="23" xfId="0" applyFont="1" applyBorder="1" applyAlignment="1">
      <alignment horizontal="center"/>
    </xf>
    <xf numFmtId="0" fontId="5" fillId="0" borderId="18" xfId="0" applyFont="1" applyBorder="1" applyAlignment="1">
      <alignment horizontal="center"/>
    </xf>
    <xf numFmtId="0" fontId="4" fillId="16" borderId="6" xfId="0" applyFont="1" applyFill="1" applyBorder="1" applyAlignment="1">
      <alignment horizontal="center" vertical="center" wrapText="1"/>
    </xf>
    <xf numFmtId="0" fontId="4" fillId="16" borderId="0" xfId="0" applyFont="1" applyFill="1" applyAlignment="1">
      <alignment horizontal="center" vertical="center" wrapText="1"/>
    </xf>
    <xf numFmtId="0" fontId="0" fillId="0" borderId="27" xfId="0"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21" fillId="0" borderId="1" xfId="0" applyFont="1" applyBorder="1" applyAlignment="1">
      <alignment horizontal="left" vertical="center" wrapText="1"/>
    </xf>
    <xf numFmtId="0" fontId="21" fillId="0" borderId="32" xfId="0" applyFont="1" applyBorder="1" applyAlignment="1">
      <alignment horizontal="left" vertical="center" wrapText="1"/>
    </xf>
    <xf numFmtId="0" fontId="21" fillId="0" borderId="19" xfId="0" applyFont="1" applyBorder="1" applyAlignment="1">
      <alignment horizontal="left"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0" fillId="0" borderId="19" xfId="0" applyBorder="1" applyAlignment="1">
      <alignment horizontal="center" vertical="center" wrapText="1"/>
    </xf>
    <xf numFmtId="0" fontId="22" fillId="16" borderId="15" xfId="0" applyFont="1" applyFill="1" applyBorder="1" applyAlignment="1">
      <alignment horizontal="center" vertical="center"/>
    </xf>
    <xf numFmtId="0" fontId="22" fillId="16" borderId="5" xfId="0" applyFont="1" applyFill="1" applyBorder="1" applyAlignment="1">
      <alignment horizontal="center" vertical="center"/>
    </xf>
    <xf numFmtId="10" fontId="23" fillId="17" borderId="35" xfId="0" applyNumberFormat="1" applyFont="1" applyFill="1" applyBorder="1" applyAlignment="1">
      <alignment horizontal="center" vertical="center" wrapText="1"/>
    </xf>
    <xf numFmtId="10" fontId="23" fillId="17" borderId="36" xfId="0" applyNumberFormat="1" applyFont="1" applyFill="1" applyBorder="1" applyAlignment="1">
      <alignment horizontal="center" vertical="center" wrapText="1"/>
    </xf>
    <xf numFmtId="0" fontId="22" fillId="16" borderId="5" xfId="0" applyFont="1" applyFill="1" applyBorder="1" applyAlignment="1">
      <alignment horizontal="center"/>
    </xf>
    <xf numFmtId="10" fontId="23" fillId="17" borderId="34" xfId="0" applyNumberFormat="1" applyFont="1" applyFill="1" applyBorder="1" applyAlignment="1">
      <alignment horizontal="center" vertical="center" wrapText="1"/>
    </xf>
    <xf numFmtId="0" fontId="0" fillId="16" borderId="5" xfId="0" applyFill="1" applyBorder="1" applyAlignment="1">
      <alignment horizontal="center"/>
    </xf>
  </cellXfs>
  <cellStyles count="9">
    <cellStyle name="Millares" xfId="8" builtinId="3"/>
    <cellStyle name="Millares 2" xfId="7" xr:uid="{E1B3BBA3-B642-4561-86A2-B3BCDE65D466}"/>
    <cellStyle name="Moneda" xfId="6" builtinId="4"/>
    <cellStyle name="Moneda [0] 2" xfId="2" xr:uid="{830EFFE9-A975-4133-A438-FA1FB3500777}"/>
    <cellStyle name="Normal" xfId="0" builtinId="0"/>
    <cellStyle name="Normal 2" xfId="3" xr:uid="{A01F2D88-A363-46C2-80F3-128B8C4618C3}"/>
    <cellStyle name="Normal 4" xfId="5" xr:uid="{6FAACAD9-08F4-4E85-8F12-9CC70D0131CC}"/>
    <cellStyle name="Porcentaje" xfId="1" builtinId="5"/>
    <cellStyle name="Porcentaje 2" xfId="4" xr:uid="{BDC92E9A-A686-41FB-BE2B-82A786702D66}"/>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US"/>
              <a:t>Promedio de avance EN EL CUATRIENIO</a:t>
            </a:r>
            <a:r>
              <a:rPr lang="en-US" baseline="0"/>
              <a:t> </a:t>
            </a:r>
            <a:r>
              <a:rPr lang="en-US"/>
              <a:t>de los OBJETIVOS SEGÚN APUESTAS</a:t>
            </a:r>
            <a:r>
              <a:rPr lang="en-US" baseline="0"/>
              <a:t> SECTORIALES</a:t>
            </a:r>
            <a:endParaRPr lang="en-US"/>
          </a:p>
        </c:rich>
      </c:tx>
      <c:layout>
        <c:manualLayout>
          <c:xMode val="edge"/>
          <c:yMode val="edge"/>
          <c:x val="0.14673025289934155"/>
          <c:y val="1.3918128526793493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Avances!$F$25</c:f>
              <c:strCache>
                <c:ptCount val="1"/>
                <c:pt idx="0">
                  <c:v>Promedio de avance de las iniciativas</c:v>
                </c:pt>
              </c:strCache>
            </c:strRef>
          </c:tx>
          <c:spPr>
            <a:gradFill flip="none" rotWithShape="1">
              <a:gsLst>
                <a:gs pos="0">
                  <a:schemeClr val="accent1"/>
                </a:gs>
                <a:gs pos="75000">
                  <a:schemeClr val="accent1">
                    <a:lumMod val="60000"/>
                    <a:lumOff val="40000"/>
                  </a:schemeClr>
                </a:gs>
                <a:gs pos="51000">
                  <a:schemeClr val="accent1">
                    <a:alpha val="75000"/>
                  </a:schemeClr>
                </a:gs>
                <a:gs pos="100000">
                  <a:schemeClr val="accent1">
                    <a:lumMod val="20000"/>
                    <a:lumOff val="80000"/>
                    <a:alpha val="15000"/>
                  </a:schemeClr>
                </a:gs>
              </a:gsLst>
              <a:lin ang="10800000" scaled="1"/>
              <a:tileRect/>
            </a:gra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237E-4664-8953-91BCA74AA049}"/>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237E-4664-8953-91BCA74AA049}"/>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5-237E-4664-8953-91BCA74AA049}"/>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7-237E-4664-8953-91BCA74AA049}"/>
              </c:ext>
            </c:extLst>
          </c:dPt>
          <c:dPt>
            <c:idx val="4"/>
            <c:invertIfNegative val="0"/>
            <c:bubble3D val="0"/>
            <c:spPr>
              <a:solidFill>
                <a:srgbClr val="FFC000"/>
              </a:solidFill>
              <a:ln>
                <a:noFill/>
              </a:ln>
              <a:effectLst/>
            </c:spPr>
            <c:extLst>
              <c:ext xmlns:c16="http://schemas.microsoft.com/office/drawing/2014/chart" uri="{C3380CC4-5D6E-409C-BE32-E72D297353CC}">
                <c16:uniqueId val="{00000009-237E-4664-8953-91BCA74AA049}"/>
              </c:ext>
            </c:extLst>
          </c:dPt>
          <c:dPt>
            <c:idx val="5"/>
            <c:invertIfNegative val="0"/>
            <c:bubble3D val="0"/>
            <c:spPr>
              <a:solidFill>
                <a:srgbClr val="FFC000"/>
              </a:solidFill>
              <a:ln>
                <a:noFill/>
              </a:ln>
              <a:effectLst/>
            </c:spPr>
            <c:extLst>
              <c:ext xmlns:c16="http://schemas.microsoft.com/office/drawing/2014/chart" uri="{C3380CC4-5D6E-409C-BE32-E72D297353CC}">
                <c16:uniqueId val="{0000000B-237E-4664-8953-91BCA74AA0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Avances!$B$26:$B$31</c:f>
              <c:strCache>
                <c:ptCount val="6"/>
                <c:pt idx="0">
                  <c:v>1. Garantizar la seguridad jurídica y la efectiva divulgación normativa de las ramas del poder público</c:v>
                </c:pt>
                <c:pt idx="1">
                  <c:v>2. Propiciar la seguridad y convivencia ciudadana, el orden público, así como la atención y control en situaciones que vulneren o amenacen a la población</c:v>
                </c:pt>
                <c:pt idx="2">
                  <c:v>3. Fortalecer la articulación entre la Nación y el territorio, promoviendo la gobernabilidad, la democracia, el respeto por la libertad de cultos, la participación social, política y comunitaria</c:v>
                </c:pt>
                <c:pt idx="3">
                  <c:v>4. Promover y proteger los derechos humanos, especialmente la vida, la libertad, la seguridad, así como los derechos de autor y conexos, fundamentados en la cultura de legalidad y emprendimiento</c:v>
                </c:pt>
                <c:pt idx="4">
                  <c:v>5. Fortalecer el diálogo social e intercultural Estado – Comunidades, garantizando el derecho fundamental a la consulta previa y promoviendo estrategias que contribuyan a la equidad y el desarrollo de los pueblos indígenas, Rrom; y comunidades Negras, Afro</c:v>
                </c:pt>
                <c:pt idx="5">
                  <c:v>6. Fortalecer la gestión y desempeño del Sector Interior</c:v>
                </c:pt>
              </c:strCache>
            </c:strRef>
          </c:cat>
          <c:val>
            <c:numRef>
              <c:f>Avances!$O$26:$O$31</c:f>
              <c:numCache>
                <c:formatCode>0.0%</c:formatCode>
                <c:ptCount val="6"/>
                <c:pt idx="0">
                  <c:v>0.5</c:v>
                </c:pt>
                <c:pt idx="1">
                  <c:v>0</c:v>
                </c:pt>
                <c:pt idx="2">
                  <c:v>0</c:v>
                </c:pt>
                <c:pt idx="3">
                  <c:v>0</c:v>
                </c:pt>
                <c:pt idx="4">
                  <c:v>0</c:v>
                </c:pt>
                <c:pt idx="5">
                  <c:v>0</c:v>
                </c:pt>
              </c:numCache>
            </c:numRef>
          </c:val>
          <c:extLst>
            <c:ext xmlns:c16="http://schemas.microsoft.com/office/drawing/2014/chart" uri="{C3380CC4-5D6E-409C-BE32-E72D297353CC}">
              <c16:uniqueId val="{0000000C-237E-4664-8953-91BCA74AA049}"/>
            </c:ext>
          </c:extLst>
        </c:ser>
        <c:dLbls>
          <c:showLegendKey val="0"/>
          <c:showVal val="1"/>
          <c:showCatName val="0"/>
          <c:showSerName val="0"/>
          <c:showPercent val="0"/>
          <c:showBubbleSize val="0"/>
        </c:dLbls>
        <c:gapWidth val="150"/>
        <c:overlap val="-25"/>
        <c:axId val="101262256"/>
        <c:axId val="101261080"/>
      </c:barChart>
      <c:catAx>
        <c:axId val="101262256"/>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101261080"/>
        <c:crosses val="autoZero"/>
        <c:auto val="1"/>
        <c:lblAlgn val="ctr"/>
        <c:lblOffset val="100"/>
        <c:noMultiLvlLbl val="0"/>
      </c:catAx>
      <c:valAx>
        <c:axId val="101261080"/>
        <c:scaling>
          <c:orientation val="minMax"/>
        </c:scaling>
        <c:delete val="1"/>
        <c:axPos val="b"/>
        <c:numFmt formatCode="0.0%" sourceLinked="1"/>
        <c:majorTickMark val="none"/>
        <c:minorTickMark val="none"/>
        <c:tickLblPos val="nextTo"/>
        <c:crossAx val="101262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r>
              <a:rPr lang="en-US" b="1"/>
              <a:t>PROMEDIO DE AVANCE</a:t>
            </a:r>
            <a:r>
              <a:rPr lang="en-US" b="1" baseline="0"/>
              <a:t> EN EL CUATRIENIO DE LAS ENTIDADES SEGÚN APUESTAS SECTORIALES</a:t>
            </a:r>
          </a:p>
        </c:rich>
      </c:tx>
      <c:overlay val="0"/>
      <c:spPr>
        <a:noFill/>
        <a:ln>
          <a:noFill/>
        </a:ln>
        <a:effectLst/>
      </c:spPr>
      <c:txPr>
        <a:bodyPr rot="0" spcFirstLastPara="1" vertOverflow="ellipsis" vert="horz" wrap="square" anchor="ctr" anchorCtr="1"/>
        <a:lstStyle/>
        <a:p>
          <a:pPr>
            <a:defRPr b="1"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Avances!$F$49</c:f>
              <c:strCache>
                <c:ptCount val="1"/>
                <c:pt idx="0">
                  <c:v>Promedio de avance de las iniciativas</c:v>
                </c:pt>
              </c:strCache>
            </c:strRef>
          </c:tx>
          <c:spPr>
            <a:gradFill>
              <a:gsLst>
                <a:gs pos="0">
                  <a:schemeClr val="accent6"/>
                </a:gs>
                <a:gs pos="100000">
                  <a:schemeClr val="accent6">
                    <a:lumMod val="84000"/>
                  </a:schemeClr>
                </a:gs>
              </a:gsLst>
              <a:lin ang="5400000" scaled="1"/>
            </a:gra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1-6E99-48D2-B5B1-15A3A293DA32}"/>
              </c:ext>
            </c:extLst>
          </c:dPt>
          <c:dPt>
            <c:idx val="1"/>
            <c:invertIfNegative val="0"/>
            <c:bubble3D val="0"/>
            <c:extLst>
              <c:ext xmlns:c16="http://schemas.microsoft.com/office/drawing/2014/chart" uri="{C3380CC4-5D6E-409C-BE32-E72D297353CC}">
                <c16:uniqueId val="{00000002-6E99-48D2-B5B1-15A3A293DA32}"/>
              </c:ext>
            </c:extLst>
          </c:dPt>
          <c:dPt>
            <c:idx val="2"/>
            <c:invertIfNegative val="0"/>
            <c:bubble3D val="0"/>
            <c:extLst>
              <c:ext xmlns:c16="http://schemas.microsoft.com/office/drawing/2014/chart" uri="{C3380CC4-5D6E-409C-BE32-E72D297353CC}">
                <c16:uniqueId val="{00000003-6E99-48D2-B5B1-15A3A293DA32}"/>
              </c:ext>
            </c:extLst>
          </c:dPt>
          <c:dPt>
            <c:idx val="3"/>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5-6E99-48D2-B5B1-15A3A293DA32}"/>
              </c:ext>
            </c:extLst>
          </c:dPt>
          <c:dPt>
            <c:idx val="4"/>
            <c:invertIfNegative val="0"/>
            <c:bubble3D val="0"/>
            <c:extLst>
              <c:ext xmlns:c16="http://schemas.microsoft.com/office/drawing/2014/chart" uri="{C3380CC4-5D6E-409C-BE32-E72D297353CC}">
                <c16:uniqueId val="{00000006-6E99-48D2-B5B1-15A3A293DA32}"/>
              </c:ext>
            </c:extLst>
          </c:dPt>
          <c:dPt>
            <c:idx val="5"/>
            <c:invertIfNegative val="0"/>
            <c:bubble3D val="0"/>
            <c:spPr>
              <a:solidFill>
                <a:srgbClr val="FFC000"/>
              </a:solidFill>
              <a:ln>
                <a:noFill/>
              </a:ln>
              <a:effectLst>
                <a:outerShdw blurRad="76200" dir="18900000" sy="23000" kx="-1200000" algn="bl" rotWithShape="0">
                  <a:prstClr val="black">
                    <a:alpha val="20000"/>
                  </a:prstClr>
                </a:outerShdw>
              </a:effectLst>
            </c:spPr>
            <c:extLst>
              <c:ext xmlns:c16="http://schemas.microsoft.com/office/drawing/2014/chart" uri="{C3380CC4-5D6E-409C-BE32-E72D297353CC}">
                <c16:uniqueId val="{00000008-6E99-48D2-B5B1-15A3A293DA32}"/>
              </c:ext>
            </c:extLst>
          </c:dPt>
          <c:dLbls>
            <c:dLbl>
              <c:idx val="5"/>
              <c:layout>
                <c:manualLayout>
                  <c:x val="3.9243175279642384E-3"/>
                  <c:y val="0.1934465442989317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99-48D2-B5B1-15A3A293DA3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Avances!$B$50:$B$55</c:f>
              <c:strCache>
                <c:ptCount val="6"/>
                <c:pt idx="0">
                  <c:v>Corporación Nasa Kiwe</c:v>
                </c:pt>
                <c:pt idx="1">
                  <c:v>Dirección Nacional de Bomberos</c:v>
                </c:pt>
                <c:pt idx="2">
                  <c:v>Dirección Nacional de Derechos de Autor</c:v>
                </c:pt>
                <c:pt idx="3">
                  <c:v>Imprenta Nacional de Colombia</c:v>
                </c:pt>
                <c:pt idx="4">
                  <c:v>Ministerio del Interior</c:v>
                </c:pt>
                <c:pt idx="5">
                  <c:v>Unidad Nacional de Protección</c:v>
                </c:pt>
              </c:strCache>
            </c:strRef>
          </c:cat>
          <c:val>
            <c:numRef>
              <c:f>Avances!$O$50:$O$55</c:f>
              <c:numCache>
                <c:formatCode>0.0%</c:formatCode>
                <c:ptCount val="6"/>
                <c:pt idx="0">
                  <c:v>0</c:v>
                </c:pt>
                <c:pt idx="1">
                  <c:v>0.5</c:v>
                </c:pt>
                <c:pt idx="2">
                  <c:v>0</c:v>
                </c:pt>
                <c:pt idx="3">
                  <c:v>0</c:v>
                </c:pt>
                <c:pt idx="4">
                  <c:v>0</c:v>
                </c:pt>
                <c:pt idx="5">
                  <c:v>0</c:v>
                </c:pt>
              </c:numCache>
            </c:numRef>
          </c:val>
          <c:extLst>
            <c:ext xmlns:c16="http://schemas.microsoft.com/office/drawing/2014/chart" uri="{C3380CC4-5D6E-409C-BE32-E72D297353CC}">
              <c16:uniqueId val="{00000009-6E99-48D2-B5B1-15A3A293DA32}"/>
            </c:ext>
          </c:extLst>
        </c:ser>
        <c:dLbls>
          <c:dLblPos val="inEnd"/>
          <c:showLegendKey val="0"/>
          <c:showVal val="1"/>
          <c:showCatName val="0"/>
          <c:showSerName val="0"/>
          <c:showPercent val="0"/>
          <c:showBubbleSize val="0"/>
        </c:dLbls>
        <c:gapWidth val="41"/>
        <c:axId val="101256376"/>
        <c:axId val="101262648"/>
      </c:barChart>
      <c:catAx>
        <c:axId val="101256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effectLst/>
                <a:latin typeface="+mn-lt"/>
                <a:ea typeface="+mn-ea"/>
                <a:cs typeface="+mn-cs"/>
              </a:defRPr>
            </a:pPr>
            <a:endParaRPr lang="es-CO"/>
          </a:p>
        </c:txPr>
        <c:crossAx val="101262648"/>
        <c:crosses val="autoZero"/>
        <c:auto val="1"/>
        <c:lblAlgn val="ctr"/>
        <c:lblOffset val="100"/>
        <c:noMultiLvlLbl val="0"/>
      </c:catAx>
      <c:valAx>
        <c:axId val="101262648"/>
        <c:scaling>
          <c:orientation val="minMax"/>
        </c:scaling>
        <c:delete val="1"/>
        <c:axPos val="l"/>
        <c:numFmt formatCode="0.0%" sourceLinked="1"/>
        <c:majorTickMark val="none"/>
        <c:minorTickMark val="none"/>
        <c:tickLblPos val="nextTo"/>
        <c:crossAx val="101256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1170215</xdr:colOff>
      <xdr:row>0</xdr:row>
      <xdr:rowOff>0</xdr:rowOff>
    </xdr:from>
    <xdr:to>
      <xdr:col>2</xdr:col>
      <xdr:colOff>479856</xdr:colOff>
      <xdr:row>6</xdr:row>
      <xdr:rowOff>54429</xdr:rowOff>
    </xdr:to>
    <xdr:pic>
      <xdr:nvPicPr>
        <xdr:cNvPr id="2" name="Imagen 1">
          <a:extLst>
            <a:ext uri="{FF2B5EF4-FFF2-40B4-BE49-F238E27FC236}">
              <a16:creationId xmlns:a16="http://schemas.microsoft.com/office/drawing/2014/main" id="{15582AF2-C01C-4805-BEDC-41FE72AC1F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1875" y="0"/>
          <a:ext cx="1323226" cy="11517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163285</xdr:colOff>
      <xdr:row>23</xdr:row>
      <xdr:rowOff>163286</xdr:rowOff>
    </xdr:from>
    <xdr:to>
      <xdr:col>26</xdr:col>
      <xdr:colOff>408215</xdr:colOff>
      <xdr:row>31</xdr:row>
      <xdr:rowOff>190500</xdr:rowOff>
    </xdr:to>
    <xdr:graphicFrame macro="">
      <xdr:nvGraphicFramePr>
        <xdr:cNvPr id="2" name="Gráfico 1">
          <a:extLst>
            <a:ext uri="{FF2B5EF4-FFF2-40B4-BE49-F238E27FC236}">
              <a16:creationId xmlns:a16="http://schemas.microsoft.com/office/drawing/2014/main" id="{5D5840E5-9B1B-4772-8E64-BBD55AFF4C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213178</xdr:colOff>
      <xdr:row>46</xdr:row>
      <xdr:rowOff>97973</xdr:rowOff>
    </xdr:from>
    <xdr:to>
      <xdr:col>26</xdr:col>
      <xdr:colOff>507999</xdr:colOff>
      <xdr:row>61</xdr:row>
      <xdr:rowOff>117929</xdr:rowOff>
    </xdr:to>
    <xdr:graphicFrame macro="">
      <xdr:nvGraphicFramePr>
        <xdr:cNvPr id="3" name="Gráfico 2">
          <a:extLst>
            <a:ext uri="{FF2B5EF4-FFF2-40B4-BE49-F238E27FC236}">
              <a16:creationId xmlns:a16="http://schemas.microsoft.com/office/drawing/2014/main" id="{1DB8412B-FF38-47DD-A2FA-E9C861234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1210235</xdr:colOff>
      <xdr:row>0</xdr:row>
      <xdr:rowOff>0</xdr:rowOff>
    </xdr:from>
    <xdr:to>
      <xdr:col>1</xdr:col>
      <xdr:colOff>2482842</xdr:colOff>
      <xdr:row>6</xdr:row>
      <xdr:rowOff>54429</xdr:rowOff>
    </xdr:to>
    <xdr:pic>
      <xdr:nvPicPr>
        <xdr:cNvPr id="4" name="Imagen 3">
          <a:extLst>
            <a:ext uri="{FF2B5EF4-FFF2-40B4-BE49-F238E27FC236}">
              <a16:creationId xmlns:a16="http://schemas.microsoft.com/office/drawing/2014/main" id="{3BC00526-57F4-4E75-9772-35CBD615719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8355" y="0"/>
          <a:ext cx="1272607" cy="119742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EC853-B6DB-45F6-BC2A-C1A0456EB3F4}">
  <dimension ref="A1:EG20"/>
  <sheetViews>
    <sheetView tabSelected="1" topLeftCell="CB10" zoomScale="80" zoomScaleNormal="80" workbookViewId="0">
      <pane ySplit="4" topLeftCell="A17" activePane="bottomLeft" state="frozen"/>
      <selection activeCell="J10" sqref="J10"/>
      <selection pane="bottomLeft" activeCell="CH19" sqref="CH19"/>
    </sheetView>
  </sheetViews>
  <sheetFormatPr baseColWidth="10" defaultColWidth="11.42578125" defaultRowHeight="20.100000000000001" customHeight="1" x14ac:dyDescent="0.25"/>
  <cols>
    <col min="1" max="1" width="27" customWidth="1"/>
    <col min="2" max="2" width="29.140625" customWidth="1"/>
    <col min="3" max="3" width="39.140625" customWidth="1"/>
    <col min="4" max="8" width="30.42578125" customWidth="1"/>
    <col min="9" max="9" width="48.85546875" customWidth="1"/>
    <col min="10" max="10" width="10.140625" customWidth="1"/>
    <col min="11" max="13" width="30.42578125" customWidth="1"/>
    <col min="15" max="15" width="18.42578125" customWidth="1"/>
    <col min="16" max="16" width="11.140625" bestFit="1" customWidth="1"/>
    <col min="18" max="18" width="11.140625" bestFit="1" customWidth="1"/>
    <col min="19" max="19" width="15.7109375" customWidth="1"/>
    <col min="20" max="23" width="10.7109375" hidden="1" customWidth="1"/>
    <col min="24" max="34" width="10.7109375" customWidth="1"/>
    <col min="35" max="38" width="10.7109375" hidden="1" customWidth="1"/>
    <col min="39" max="39" width="10.7109375" customWidth="1"/>
    <col min="40" max="40" width="15.7109375" customWidth="1"/>
    <col min="41" max="41" width="15.7109375" hidden="1" customWidth="1"/>
    <col min="42" max="42" width="50.28515625" hidden="1" customWidth="1"/>
    <col min="43" max="43" width="23.140625" hidden="1" customWidth="1"/>
    <col min="44" max="44" width="6.140625" hidden="1" customWidth="1"/>
    <col min="45" max="45" width="15.7109375" hidden="1" customWidth="1"/>
    <col min="46" max="46" width="50.7109375" hidden="1" customWidth="1"/>
    <col min="47" max="47" width="30.140625" hidden="1" customWidth="1"/>
    <col min="48" max="48" width="22.7109375" hidden="1" customWidth="1"/>
    <col min="49" max="49" width="15.7109375" hidden="1" customWidth="1"/>
    <col min="50" max="50" width="47" hidden="1" customWidth="1"/>
    <col min="51" max="52" width="45.7109375" hidden="1" customWidth="1"/>
    <col min="53" max="53" width="15.7109375" hidden="1" customWidth="1"/>
    <col min="54" max="56" width="45.7109375" hidden="1" customWidth="1"/>
    <col min="57" max="57" width="15.7109375" customWidth="1"/>
    <col min="58" max="60" width="45.7109375" customWidth="1"/>
    <col min="61" max="61" width="15.7109375" customWidth="1"/>
    <col min="62" max="62" width="55" customWidth="1"/>
    <col min="63" max="64" width="45.7109375" customWidth="1"/>
    <col min="65" max="65" width="15.7109375" customWidth="1"/>
    <col min="66" max="66" width="49.42578125" customWidth="1"/>
    <col min="67" max="68" width="45.7109375" customWidth="1"/>
    <col min="69" max="69" width="15.7109375" customWidth="1"/>
    <col min="70" max="70" width="59.7109375" customWidth="1"/>
    <col min="71" max="71" width="60" customWidth="1"/>
    <col min="72" max="72" width="45.7109375" customWidth="1"/>
    <col min="73" max="73" width="15.7109375" customWidth="1"/>
    <col min="74" max="76" width="45.7109375" customWidth="1"/>
    <col min="77" max="77" width="15.7109375" customWidth="1"/>
    <col min="78" max="80" width="45.7109375" customWidth="1"/>
    <col min="81" max="81" width="15.7109375" customWidth="1"/>
    <col min="82" max="82" width="64.42578125" customWidth="1"/>
    <col min="83" max="83" width="17.85546875" customWidth="1"/>
    <col min="84" max="84" width="19.5703125" customWidth="1"/>
    <col min="85" max="85" width="15.7109375" customWidth="1"/>
    <col min="86" max="86" width="79.7109375" customWidth="1"/>
    <col min="87" max="88" width="45.7109375" customWidth="1"/>
    <col min="89" max="89" width="15.7109375" hidden="1" customWidth="1"/>
    <col min="90" max="92" width="45.7109375" hidden="1" customWidth="1"/>
    <col min="93" max="93" width="15.7109375" hidden="1" customWidth="1"/>
    <col min="94" max="96" width="45.7109375" hidden="1" customWidth="1"/>
    <col min="97" max="97" width="15.7109375" customWidth="1"/>
    <col min="98" max="100" width="45.7109375" hidden="1" customWidth="1"/>
    <col min="101" max="101" width="15.7109375" hidden="1" customWidth="1"/>
    <col min="102" max="104" width="45.7109375" hidden="1" customWidth="1"/>
    <col min="105" max="105" width="15.7109375" hidden="1" customWidth="1"/>
    <col min="106" max="108" width="45.7109375" hidden="1" customWidth="1"/>
    <col min="109" max="109" width="15.7109375" hidden="1" customWidth="1"/>
    <col min="110" max="112" width="45.7109375" hidden="1" customWidth="1"/>
    <col min="113" max="113" width="15.7109375" hidden="1" customWidth="1"/>
    <col min="114" max="116" width="45.7109375" hidden="1" customWidth="1"/>
    <col min="117" max="117" width="15.7109375" hidden="1" customWidth="1"/>
    <col min="118" max="120" width="45.7109375" hidden="1" customWidth="1"/>
    <col min="121" max="121" width="15.7109375" customWidth="1"/>
    <col min="122" max="122" width="45.7109375" hidden="1" customWidth="1"/>
    <col min="123" max="123" width="24.5703125" customWidth="1"/>
    <col min="124" max="124" width="20.7109375" customWidth="1"/>
    <col min="125" max="125" width="18.28515625" customWidth="1"/>
    <col min="126" max="126" width="21" customWidth="1"/>
    <col min="127" max="127" width="15.7109375" customWidth="1"/>
    <col min="128" max="128" width="12.28515625" customWidth="1"/>
    <col min="129" max="132" width="10.85546875" customWidth="1"/>
    <col min="133" max="133" width="24.7109375" customWidth="1"/>
    <col min="134" max="134" width="107.140625" style="65" customWidth="1"/>
    <col min="136" max="137" width="11.42578125" hidden="1" customWidth="1"/>
  </cols>
  <sheetData>
    <row r="1" spans="1:137" ht="15" x14ac:dyDescent="0.25">
      <c r="A1" s="127"/>
      <c r="B1" s="127"/>
      <c r="C1" s="127"/>
      <c r="D1" s="127"/>
      <c r="E1" s="127"/>
      <c r="F1" s="127"/>
      <c r="G1" s="127"/>
      <c r="H1" s="127"/>
      <c r="I1" s="127"/>
      <c r="J1" s="128" t="s">
        <v>74</v>
      </c>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9"/>
      <c r="AO1" s="130" t="s">
        <v>75</v>
      </c>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t="s">
        <v>76</v>
      </c>
      <c r="DT1" s="130"/>
      <c r="DU1" s="130"/>
      <c r="DV1" s="130"/>
      <c r="DW1" s="130"/>
      <c r="DX1" s="130">
        <v>2</v>
      </c>
      <c r="DY1" s="130"/>
      <c r="DZ1" s="130"/>
      <c r="EA1" s="130"/>
      <c r="EB1" s="130"/>
      <c r="EC1" s="130"/>
      <c r="ED1" s="130"/>
    </row>
    <row r="2" spans="1:137" ht="15" x14ac:dyDescent="0.25">
      <c r="A2" s="127"/>
      <c r="B2" s="127"/>
      <c r="C2" s="127"/>
      <c r="D2" s="127"/>
      <c r="E2" s="127"/>
      <c r="F2" s="127"/>
      <c r="G2" s="127"/>
      <c r="H2" s="127"/>
      <c r="I2" s="127"/>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9"/>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row>
    <row r="3" spans="1:137" ht="15" x14ac:dyDescent="0.25">
      <c r="A3" s="127"/>
      <c r="B3" s="127"/>
      <c r="C3" s="127"/>
      <c r="D3" s="127"/>
      <c r="E3" s="127"/>
      <c r="F3" s="127"/>
      <c r="G3" s="127"/>
      <c r="H3" s="127"/>
      <c r="I3" s="127"/>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9"/>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t="s">
        <v>77</v>
      </c>
      <c r="DT3" s="130"/>
      <c r="DU3" s="130"/>
      <c r="DV3" s="130"/>
      <c r="DW3" s="130"/>
      <c r="DX3" s="130" t="s">
        <v>78</v>
      </c>
      <c r="DY3" s="130"/>
      <c r="DZ3" s="130"/>
      <c r="EA3" s="130"/>
      <c r="EB3" s="130"/>
      <c r="EC3" s="130"/>
      <c r="ED3" s="130"/>
    </row>
    <row r="4" spans="1:137" ht="15" x14ac:dyDescent="0.25">
      <c r="A4" s="127"/>
      <c r="B4" s="127"/>
      <c r="C4" s="127"/>
      <c r="D4" s="127"/>
      <c r="E4" s="127"/>
      <c r="F4" s="127"/>
      <c r="G4" s="127"/>
      <c r="H4" s="127"/>
      <c r="I4" s="127"/>
      <c r="J4" s="128" t="s">
        <v>79</v>
      </c>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9"/>
      <c r="AO4" s="130" t="s">
        <v>80</v>
      </c>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row>
    <row r="5" spans="1:137" ht="15" x14ac:dyDescent="0.25">
      <c r="A5" s="127"/>
      <c r="B5" s="127"/>
      <c r="C5" s="127"/>
      <c r="D5" s="127"/>
      <c r="E5" s="127"/>
      <c r="F5" s="127"/>
      <c r="G5" s="127"/>
      <c r="H5" s="127"/>
      <c r="I5" s="127"/>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9"/>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t="s">
        <v>81</v>
      </c>
      <c r="DT5" s="130"/>
      <c r="DU5" s="130"/>
      <c r="DV5" s="130"/>
      <c r="DW5" s="130"/>
      <c r="DX5" s="152">
        <v>45768</v>
      </c>
      <c r="DY5" s="130"/>
      <c r="DZ5" s="130"/>
      <c r="EA5" s="130"/>
      <c r="EB5" s="130"/>
      <c r="EC5" s="130"/>
      <c r="ED5" s="130"/>
    </row>
    <row r="6" spans="1:137" ht="15" x14ac:dyDescent="0.25">
      <c r="A6" s="127"/>
      <c r="B6" s="127"/>
      <c r="C6" s="127"/>
      <c r="D6" s="127"/>
      <c r="E6" s="127"/>
      <c r="F6" s="127"/>
      <c r="G6" s="127"/>
      <c r="H6" s="127"/>
      <c r="I6" s="127"/>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9"/>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row>
    <row r="7" spans="1:137" ht="15" x14ac:dyDescent="0.25">
      <c r="A7" s="5"/>
      <c r="B7" s="5"/>
      <c r="C7" s="5"/>
      <c r="D7" s="5"/>
      <c r="E7" s="5"/>
      <c r="F7" s="5"/>
      <c r="G7" s="5"/>
      <c r="H7" s="5"/>
      <c r="I7" s="5"/>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row>
    <row r="8" spans="1:137" ht="15" x14ac:dyDescent="0.25">
      <c r="A8" s="5"/>
      <c r="B8" s="5"/>
      <c r="C8" s="5"/>
      <c r="D8" s="5"/>
      <c r="E8" s="5"/>
      <c r="F8" s="5"/>
      <c r="G8" s="5"/>
      <c r="H8" s="5"/>
      <c r="I8" s="5"/>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row>
    <row r="9" spans="1:137" ht="15.75" thickBot="1" x14ac:dyDescent="0.3"/>
    <row r="10" spans="1:137" ht="24" thickBot="1" x14ac:dyDescent="0.3">
      <c r="A10" s="133" t="s">
        <v>0</v>
      </c>
      <c r="B10" s="134"/>
      <c r="C10" s="135" t="s">
        <v>1</v>
      </c>
      <c r="D10" s="136"/>
      <c r="E10" s="136"/>
      <c r="F10" s="136"/>
      <c r="G10" s="136"/>
      <c r="H10" s="136"/>
      <c r="I10" s="136"/>
      <c r="J10" s="137" t="s">
        <v>2</v>
      </c>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9"/>
      <c r="AO10" s="116" t="s">
        <v>82</v>
      </c>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40" t="s">
        <v>83</v>
      </c>
      <c r="DY10" s="141"/>
      <c r="DZ10" s="141"/>
      <c r="EA10" s="141"/>
      <c r="EB10" s="141"/>
      <c r="EC10" s="142"/>
      <c r="ED10" s="121" t="s">
        <v>84</v>
      </c>
    </row>
    <row r="11" spans="1:137" ht="24" customHeight="1" thickBot="1" x14ac:dyDescent="0.3">
      <c r="A11" s="123" t="s">
        <v>3</v>
      </c>
      <c r="B11" s="123" t="s">
        <v>4</v>
      </c>
      <c r="C11" s="125" t="s">
        <v>5</v>
      </c>
      <c r="D11" s="125" t="s">
        <v>6</v>
      </c>
      <c r="E11" s="125" t="s">
        <v>7</v>
      </c>
      <c r="F11" s="125" t="s">
        <v>8</v>
      </c>
      <c r="G11" s="125" t="s">
        <v>9</v>
      </c>
      <c r="H11" s="125" t="s">
        <v>10</v>
      </c>
      <c r="I11" s="146" t="s">
        <v>11</v>
      </c>
      <c r="J11" s="148" t="s">
        <v>12</v>
      </c>
      <c r="K11" s="148" t="s">
        <v>13</v>
      </c>
      <c r="L11" s="131" t="s">
        <v>14</v>
      </c>
      <c r="M11" s="131" t="s">
        <v>15</v>
      </c>
      <c r="N11" s="131" t="s">
        <v>16</v>
      </c>
      <c r="O11" s="131" t="s">
        <v>17</v>
      </c>
      <c r="P11" s="131" t="s">
        <v>18</v>
      </c>
      <c r="Q11" s="131" t="s">
        <v>19</v>
      </c>
      <c r="R11" s="150" t="s">
        <v>20</v>
      </c>
      <c r="S11" s="150" t="s">
        <v>21</v>
      </c>
      <c r="T11" s="108" t="s">
        <v>22</v>
      </c>
      <c r="U11" s="108"/>
      <c r="V11" s="108"/>
      <c r="W11" s="108"/>
      <c r="X11" s="108"/>
      <c r="Y11" s="108"/>
      <c r="Z11" s="108"/>
      <c r="AA11" s="108"/>
      <c r="AB11" s="108"/>
      <c r="AC11" s="108"/>
      <c r="AD11" s="108"/>
      <c r="AE11" s="108"/>
      <c r="AF11" s="108"/>
      <c r="AG11" s="108"/>
      <c r="AH11" s="108"/>
      <c r="AI11" s="108"/>
      <c r="AJ11" s="108"/>
      <c r="AK11" s="108"/>
      <c r="AL11" s="108"/>
      <c r="AM11" s="108"/>
      <c r="AN11" s="109"/>
      <c r="AO11" s="116" t="s">
        <v>85</v>
      </c>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8"/>
      <c r="DS11" s="106" t="s">
        <v>86</v>
      </c>
      <c r="DT11" s="107"/>
      <c r="DU11" s="107"/>
      <c r="DV11" s="107"/>
      <c r="DW11" s="107"/>
      <c r="DX11" s="143"/>
      <c r="DY11" s="144"/>
      <c r="DZ11" s="144"/>
      <c r="EA11" s="144"/>
      <c r="EB11" s="144"/>
      <c r="EC11" s="145"/>
      <c r="ED11" s="122"/>
    </row>
    <row r="12" spans="1:137" ht="15" customHeight="1" thickBot="1" x14ac:dyDescent="0.3">
      <c r="A12" s="124"/>
      <c r="B12" s="124"/>
      <c r="C12" s="126"/>
      <c r="D12" s="126"/>
      <c r="E12" s="126"/>
      <c r="F12" s="126"/>
      <c r="G12" s="126"/>
      <c r="H12" s="126"/>
      <c r="I12" s="147"/>
      <c r="J12" s="149"/>
      <c r="K12" s="149"/>
      <c r="L12" s="132"/>
      <c r="M12" s="132"/>
      <c r="N12" s="132"/>
      <c r="O12" s="132"/>
      <c r="P12" s="132"/>
      <c r="Q12" s="132"/>
      <c r="R12" s="151"/>
      <c r="S12" s="151"/>
      <c r="T12" s="108">
        <v>2023</v>
      </c>
      <c r="U12" s="108"/>
      <c r="V12" s="108"/>
      <c r="W12" s="108"/>
      <c r="X12" s="109"/>
      <c r="Y12" s="110">
        <v>2024</v>
      </c>
      <c r="Z12" s="108"/>
      <c r="AA12" s="108"/>
      <c r="AB12" s="108"/>
      <c r="AC12" s="109"/>
      <c r="AD12" s="110">
        <v>2025</v>
      </c>
      <c r="AE12" s="108"/>
      <c r="AF12" s="108"/>
      <c r="AG12" s="108"/>
      <c r="AH12" s="109"/>
      <c r="AI12" s="110">
        <v>2026</v>
      </c>
      <c r="AJ12" s="108"/>
      <c r="AK12" s="108"/>
      <c r="AL12" s="108"/>
      <c r="AM12" s="108"/>
      <c r="AN12" s="111" t="s">
        <v>33</v>
      </c>
      <c r="AO12" s="113">
        <v>2023</v>
      </c>
      <c r="AP12" s="114"/>
      <c r="AQ12" s="114"/>
      <c r="AR12" s="114"/>
      <c r="AS12" s="114"/>
      <c r="AT12" s="114"/>
      <c r="AU12" s="114"/>
      <c r="AV12" s="114"/>
      <c r="AW12" s="114"/>
      <c r="AX12" s="114"/>
      <c r="AY12" s="114"/>
      <c r="AZ12" s="114"/>
      <c r="BA12" s="114"/>
      <c r="BB12" s="114"/>
      <c r="BC12" s="114"/>
      <c r="BD12" s="114"/>
      <c r="BE12" s="114"/>
      <c r="BF12" s="114"/>
      <c r="BG12" s="114"/>
      <c r="BH12" s="114"/>
      <c r="BI12" s="114">
        <v>2024</v>
      </c>
      <c r="BJ12" s="114"/>
      <c r="BK12" s="114"/>
      <c r="BL12" s="114"/>
      <c r="BM12" s="114"/>
      <c r="BN12" s="114"/>
      <c r="BO12" s="114"/>
      <c r="BP12" s="114"/>
      <c r="BQ12" s="114"/>
      <c r="BR12" s="114"/>
      <c r="BS12" s="114"/>
      <c r="BT12" s="114"/>
      <c r="BU12" s="114"/>
      <c r="BV12" s="114"/>
      <c r="BW12" s="114"/>
      <c r="BX12" s="114"/>
      <c r="BY12" s="114"/>
      <c r="BZ12" s="114"/>
      <c r="CA12" s="114"/>
      <c r="CB12" s="114"/>
      <c r="CC12" s="114">
        <v>2025</v>
      </c>
      <c r="CD12" s="114"/>
      <c r="CE12" s="114"/>
      <c r="CF12" s="114"/>
      <c r="CG12" s="114"/>
      <c r="CH12" s="114"/>
      <c r="CI12" s="114"/>
      <c r="CJ12" s="114"/>
      <c r="CK12" s="114"/>
      <c r="CL12" s="114"/>
      <c r="CM12" s="114"/>
      <c r="CN12" s="114"/>
      <c r="CO12" s="114"/>
      <c r="CP12" s="114"/>
      <c r="CQ12" s="114"/>
      <c r="CR12" s="114"/>
      <c r="CS12" s="114"/>
      <c r="CT12" s="114"/>
      <c r="CU12" s="114"/>
      <c r="CV12" s="114"/>
      <c r="CW12" s="113">
        <v>2026</v>
      </c>
      <c r="CX12" s="114"/>
      <c r="CY12" s="114"/>
      <c r="CZ12" s="114"/>
      <c r="DA12" s="114"/>
      <c r="DB12" s="114"/>
      <c r="DC12" s="114"/>
      <c r="DD12" s="114"/>
      <c r="DE12" s="114"/>
      <c r="DF12" s="114"/>
      <c r="DG12" s="114"/>
      <c r="DH12" s="114"/>
      <c r="DI12" s="114"/>
      <c r="DJ12" s="114"/>
      <c r="DK12" s="114"/>
      <c r="DL12" s="114"/>
      <c r="DM12" s="114"/>
      <c r="DN12" s="114"/>
      <c r="DO12" s="114"/>
      <c r="DP12" s="115"/>
      <c r="DQ12" s="119" t="s">
        <v>87</v>
      </c>
      <c r="DR12" s="119" t="s">
        <v>88</v>
      </c>
      <c r="DS12" s="104" t="s">
        <v>23</v>
      </c>
      <c r="DT12" s="104" t="s">
        <v>24</v>
      </c>
      <c r="DU12" s="104" t="s">
        <v>25</v>
      </c>
      <c r="DV12" s="104" t="s">
        <v>26</v>
      </c>
      <c r="DW12" s="104" t="s">
        <v>27</v>
      </c>
      <c r="DX12" s="100" t="s">
        <v>89</v>
      </c>
      <c r="DY12" s="100" t="s">
        <v>34</v>
      </c>
      <c r="DZ12" s="100" t="s">
        <v>90</v>
      </c>
      <c r="EA12" s="100" t="s">
        <v>91</v>
      </c>
      <c r="EB12" s="100" t="s">
        <v>92</v>
      </c>
      <c r="EC12" s="102" t="s">
        <v>28</v>
      </c>
      <c r="ED12" s="122"/>
    </row>
    <row r="13" spans="1:137" ht="38.25" x14ac:dyDescent="0.25">
      <c r="A13" s="124"/>
      <c r="B13" s="124"/>
      <c r="C13" s="126"/>
      <c r="D13" s="126"/>
      <c r="E13" s="126"/>
      <c r="F13" s="126"/>
      <c r="G13" s="126"/>
      <c r="H13" s="126"/>
      <c r="I13" s="147"/>
      <c r="J13" s="149"/>
      <c r="K13" s="149"/>
      <c r="L13" s="132"/>
      <c r="M13" s="132"/>
      <c r="N13" s="132"/>
      <c r="O13" s="132"/>
      <c r="P13" s="132"/>
      <c r="Q13" s="132"/>
      <c r="R13" s="151"/>
      <c r="S13" s="151"/>
      <c r="T13" s="67" t="s">
        <v>29</v>
      </c>
      <c r="U13" s="68" t="s">
        <v>30</v>
      </c>
      <c r="V13" s="68" t="s">
        <v>31</v>
      </c>
      <c r="W13" s="68" t="s">
        <v>32</v>
      </c>
      <c r="X13" s="68" t="s">
        <v>93</v>
      </c>
      <c r="Y13" s="68" t="s">
        <v>29</v>
      </c>
      <c r="Z13" s="68" t="s">
        <v>30</v>
      </c>
      <c r="AA13" s="68" t="s">
        <v>31</v>
      </c>
      <c r="AB13" s="68" t="s">
        <v>32</v>
      </c>
      <c r="AC13" s="68" t="s">
        <v>93</v>
      </c>
      <c r="AD13" s="68" t="s">
        <v>29</v>
      </c>
      <c r="AE13" s="68" t="s">
        <v>30</v>
      </c>
      <c r="AF13" s="68" t="s">
        <v>31</v>
      </c>
      <c r="AG13" s="68" t="s">
        <v>32</v>
      </c>
      <c r="AH13" s="68" t="s">
        <v>93</v>
      </c>
      <c r="AI13" s="68" t="s">
        <v>29</v>
      </c>
      <c r="AJ13" s="68" t="s">
        <v>30</v>
      </c>
      <c r="AK13" s="68" t="s">
        <v>31</v>
      </c>
      <c r="AL13" s="68" t="s">
        <v>32</v>
      </c>
      <c r="AM13" s="69" t="s">
        <v>93</v>
      </c>
      <c r="AN13" s="112"/>
      <c r="AO13" s="70" t="s">
        <v>94</v>
      </c>
      <c r="AP13" s="70" t="s">
        <v>95</v>
      </c>
      <c r="AQ13" s="70" t="s">
        <v>96</v>
      </c>
      <c r="AR13" s="70" t="s">
        <v>97</v>
      </c>
      <c r="AS13" s="70" t="s">
        <v>98</v>
      </c>
      <c r="AT13" s="70" t="s">
        <v>99</v>
      </c>
      <c r="AU13" s="70" t="s">
        <v>100</v>
      </c>
      <c r="AV13" s="70" t="s">
        <v>101</v>
      </c>
      <c r="AW13" s="70" t="s">
        <v>102</v>
      </c>
      <c r="AX13" s="70" t="s">
        <v>103</v>
      </c>
      <c r="AY13" s="70" t="s">
        <v>104</v>
      </c>
      <c r="AZ13" s="70" t="s">
        <v>105</v>
      </c>
      <c r="BA13" s="70" t="s">
        <v>106</v>
      </c>
      <c r="BB13" s="70" t="s">
        <v>107</v>
      </c>
      <c r="BC13" s="70" t="s">
        <v>108</v>
      </c>
      <c r="BD13" s="70" t="s">
        <v>109</v>
      </c>
      <c r="BE13" s="66" t="s">
        <v>110</v>
      </c>
      <c r="BF13" s="66" t="s">
        <v>111</v>
      </c>
      <c r="BG13" s="66" t="s">
        <v>112</v>
      </c>
      <c r="BH13" s="66" t="s">
        <v>113</v>
      </c>
      <c r="BI13" s="71" t="s">
        <v>94</v>
      </c>
      <c r="BJ13" s="71" t="s">
        <v>95</v>
      </c>
      <c r="BK13" s="71" t="s">
        <v>96</v>
      </c>
      <c r="BL13" s="71" t="s">
        <v>97</v>
      </c>
      <c r="BM13" s="71" t="s">
        <v>98</v>
      </c>
      <c r="BN13" s="71" t="s">
        <v>99</v>
      </c>
      <c r="BO13" s="71" t="s">
        <v>100</v>
      </c>
      <c r="BP13" s="71" t="s">
        <v>101</v>
      </c>
      <c r="BQ13" s="71" t="s">
        <v>102</v>
      </c>
      <c r="BR13" s="71" t="s">
        <v>103</v>
      </c>
      <c r="BS13" s="71" t="s">
        <v>104</v>
      </c>
      <c r="BT13" s="71" t="s">
        <v>105</v>
      </c>
      <c r="BU13" s="71" t="s">
        <v>106</v>
      </c>
      <c r="BV13" s="71" t="s">
        <v>107</v>
      </c>
      <c r="BW13" s="71" t="s">
        <v>108</v>
      </c>
      <c r="BX13" s="71" t="s">
        <v>109</v>
      </c>
      <c r="BY13" s="66" t="s">
        <v>114</v>
      </c>
      <c r="BZ13" s="66" t="s">
        <v>111</v>
      </c>
      <c r="CA13" s="66" t="s">
        <v>112</v>
      </c>
      <c r="CB13" s="66" t="s">
        <v>113</v>
      </c>
      <c r="CC13" s="71" t="s">
        <v>94</v>
      </c>
      <c r="CD13" s="71" t="s">
        <v>95</v>
      </c>
      <c r="CE13" s="71" t="s">
        <v>96</v>
      </c>
      <c r="CF13" s="71" t="s">
        <v>97</v>
      </c>
      <c r="CG13" s="71" t="s">
        <v>98</v>
      </c>
      <c r="CH13" s="71" t="s">
        <v>99</v>
      </c>
      <c r="CI13" s="71" t="s">
        <v>100</v>
      </c>
      <c r="CJ13" s="71" t="s">
        <v>101</v>
      </c>
      <c r="CK13" s="71" t="s">
        <v>102</v>
      </c>
      <c r="CL13" s="71" t="s">
        <v>103</v>
      </c>
      <c r="CM13" s="71" t="s">
        <v>104</v>
      </c>
      <c r="CN13" s="71" t="s">
        <v>105</v>
      </c>
      <c r="CO13" s="71" t="s">
        <v>106</v>
      </c>
      <c r="CP13" s="71" t="s">
        <v>107</v>
      </c>
      <c r="CQ13" s="71" t="s">
        <v>108</v>
      </c>
      <c r="CR13" s="71" t="s">
        <v>109</v>
      </c>
      <c r="CS13" s="66" t="s">
        <v>115</v>
      </c>
      <c r="CT13" s="72" t="s">
        <v>111</v>
      </c>
      <c r="CU13" s="72" t="s">
        <v>112</v>
      </c>
      <c r="CV13" s="72" t="s">
        <v>113</v>
      </c>
      <c r="CW13" s="73" t="s">
        <v>94</v>
      </c>
      <c r="CX13" s="73" t="s">
        <v>95</v>
      </c>
      <c r="CY13" s="73" t="s">
        <v>96</v>
      </c>
      <c r="CZ13" s="73" t="s">
        <v>97</v>
      </c>
      <c r="DA13" s="73" t="s">
        <v>98</v>
      </c>
      <c r="DB13" s="73" t="s">
        <v>99</v>
      </c>
      <c r="DC13" s="73" t="s">
        <v>100</v>
      </c>
      <c r="DD13" s="73" t="s">
        <v>101</v>
      </c>
      <c r="DE13" s="73" t="s">
        <v>102</v>
      </c>
      <c r="DF13" s="73" t="s">
        <v>103</v>
      </c>
      <c r="DG13" s="73" t="s">
        <v>104</v>
      </c>
      <c r="DH13" s="73" t="s">
        <v>105</v>
      </c>
      <c r="DI13" s="73" t="s">
        <v>106</v>
      </c>
      <c r="DJ13" s="73" t="s">
        <v>107</v>
      </c>
      <c r="DK13" s="73" t="s">
        <v>108</v>
      </c>
      <c r="DL13" s="73" t="s">
        <v>109</v>
      </c>
      <c r="DM13" s="74" t="s">
        <v>116</v>
      </c>
      <c r="DN13" s="75" t="s">
        <v>111</v>
      </c>
      <c r="DO13" s="72" t="s">
        <v>112</v>
      </c>
      <c r="DP13" s="72" t="s">
        <v>113</v>
      </c>
      <c r="DQ13" s="120"/>
      <c r="DR13" s="120"/>
      <c r="DS13" s="105"/>
      <c r="DT13" s="105"/>
      <c r="DU13" s="105"/>
      <c r="DV13" s="105"/>
      <c r="DW13" s="105"/>
      <c r="DX13" s="101"/>
      <c r="DY13" s="101"/>
      <c r="DZ13" s="101"/>
      <c r="EA13" s="101"/>
      <c r="EB13" s="101"/>
      <c r="EC13" s="103"/>
      <c r="ED13" s="122"/>
    </row>
    <row r="14" spans="1:137" s="83" customFormat="1" ht="225.75" customHeight="1" x14ac:dyDescent="0.25">
      <c r="A14" s="76" t="s">
        <v>41</v>
      </c>
      <c r="B14" s="77" t="s">
        <v>277</v>
      </c>
      <c r="C14" s="77" t="s">
        <v>120</v>
      </c>
      <c r="D14" s="77" t="s">
        <v>121</v>
      </c>
      <c r="E14" s="77" t="s">
        <v>122</v>
      </c>
      <c r="F14" s="77" t="s">
        <v>123</v>
      </c>
      <c r="G14" s="77" t="s">
        <v>36</v>
      </c>
      <c r="H14" s="76" t="s">
        <v>124</v>
      </c>
      <c r="I14" s="81" t="s">
        <v>125</v>
      </c>
      <c r="J14" s="84">
        <v>1</v>
      </c>
      <c r="K14" s="88" t="s">
        <v>126</v>
      </c>
      <c r="L14" s="95" t="s">
        <v>127</v>
      </c>
      <c r="M14" s="95" t="s">
        <v>128</v>
      </c>
      <c r="N14" s="78" t="s">
        <v>37</v>
      </c>
      <c r="O14" s="78" t="s">
        <v>39</v>
      </c>
      <c r="P14" s="78">
        <v>520</v>
      </c>
      <c r="Q14" s="78" t="s">
        <v>129</v>
      </c>
      <c r="R14" s="79">
        <v>44927</v>
      </c>
      <c r="S14" s="79">
        <v>46387</v>
      </c>
      <c r="T14" s="79"/>
      <c r="U14" s="79"/>
      <c r="V14" s="79"/>
      <c r="W14" s="79"/>
      <c r="X14" s="84">
        <v>130</v>
      </c>
      <c r="Y14" s="84"/>
      <c r="Z14" s="84"/>
      <c r="AA14" s="84">
        <v>65</v>
      </c>
      <c r="AB14" s="84">
        <v>65</v>
      </c>
      <c r="AC14" s="84">
        <v>130</v>
      </c>
      <c r="AD14" s="59">
        <v>0</v>
      </c>
      <c r="AE14" s="59">
        <v>0</v>
      </c>
      <c r="AF14" s="59">
        <v>0</v>
      </c>
      <c r="AG14" s="84">
        <v>130</v>
      </c>
      <c r="AH14" s="84">
        <v>130</v>
      </c>
      <c r="AI14" s="4"/>
      <c r="AJ14" s="4"/>
      <c r="AK14" s="4"/>
      <c r="AL14" s="4"/>
      <c r="AM14" s="84">
        <v>130</v>
      </c>
      <c r="AN14" s="59">
        <v>520</v>
      </c>
      <c r="AO14" s="85">
        <v>0</v>
      </c>
      <c r="AP14" s="87" t="s">
        <v>130</v>
      </c>
      <c r="AQ14" s="77"/>
      <c r="AR14" s="77"/>
      <c r="AS14" s="85">
        <v>60</v>
      </c>
      <c r="AT14" s="87" t="s">
        <v>131</v>
      </c>
      <c r="AU14" s="77"/>
      <c r="AV14" s="77"/>
      <c r="AW14" s="85">
        <v>36</v>
      </c>
      <c r="AX14" s="87" t="s">
        <v>132</v>
      </c>
      <c r="AY14" s="77"/>
      <c r="AZ14" s="77"/>
      <c r="BA14" s="85">
        <v>81</v>
      </c>
      <c r="BB14" s="87" t="s">
        <v>133</v>
      </c>
      <c r="BC14" s="77"/>
      <c r="BD14" s="77"/>
      <c r="BE14" s="85">
        <f>+SUM(AO14:BC14)</f>
        <v>177</v>
      </c>
      <c r="BF14" s="81" t="s">
        <v>134</v>
      </c>
      <c r="BG14" s="77"/>
      <c r="BH14" s="77"/>
      <c r="BI14" s="85" t="s">
        <v>36</v>
      </c>
      <c r="BJ14" s="81" t="s">
        <v>136</v>
      </c>
      <c r="BK14" s="77"/>
      <c r="BL14" s="77"/>
      <c r="BM14" s="85" t="s">
        <v>36</v>
      </c>
      <c r="BN14" s="81" t="s">
        <v>136</v>
      </c>
      <c r="BO14" s="77"/>
      <c r="BP14" s="77"/>
      <c r="BQ14" s="85">
        <v>86</v>
      </c>
      <c r="BR14" s="81" t="s">
        <v>137</v>
      </c>
      <c r="BS14" s="77"/>
      <c r="BT14" s="77"/>
      <c r="BU14" s="85">
        <v>286</v>
      </c>
      <c r="BV14" s="81" t="s">
        <v>138</v>
      </c>
      <c r="BW14" s="77"/>
      <c r="BX14" s="77"/>
      <c r="BY14" s="85">
        <f>SUM(BU14+BW14)</f>
        <v>286</v>
      </c>
      <c r="BZ14" s="85" t="s">
        <v>139</v>
      </c>
      <c r="CA14" s="77"/>
      <c r="CB14" s="77"/>
      <c r="CC14" s="77" t="s">
        <v>36</v>
      </c>
      <c r="CD14" s="77" t="s">
        <v>273</v>
      </c>
      <c r="CE14" s="77"/>
      <c r="CF14" s="77"/>
      <c r="CG14" s="90">
        <v>0</v>
      </c>
      <c r="CH14" s="94" t="s">
        <v>267</v>
      </c>
      <c r="CI14" s="89"/>
      <c r="CJ14" s="89"/>
      <c r="CK14" s="77"/>
      <c r="CL14" s="77"/>
      <c r="CM14" s="77"/>
      <c r="CN14" s="77"/>
      <c r="CO14" s="77"/>
      <c r="CP14" s="77"/>
      <c r="CQ14" s="77"/>
      <c r="CR14" s="77"/>
      <c r="CS14" s="90">
        <f>+CG14</f>
        <v>0</v>
      </c>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90">
        <f>SUM(BE14+BY14+CS14)</f>
        <v>463</v>
      </c>
      <c r="DR14" s="77"/>
      <c r="DS14" s="93">
        <v>48905250000</v>
      </c>
      <c r="DT14" s="92">
        <v>105907000</v>
      </c>
      <c r="DU14" s="92">
        <v>11227000</v>
      </c>
      <c r="DV14" s="4">
        <f t="shared" ref="DV14:DV19" si="0">IFERROR(DT14/DS14,"No Aplica")</f>
        <v>2.1655548228462179E-3</v>
      </c>
      <c r="DW14" s="4">
        <f t="shared" ref="DW14:DW19" si="1">IFERROR(DU14/DS14,"No Aplica")</f>
        <v>2.2956635535039695E-4</v>
      </c>
      <c r="DX14" s="6" t="str">
        <f t="shared" ref="DX14:DX19" si="2">+IFERROR(IF(K14=K13,"No requiere reporte",IF(OR(AD14=0,AD14=""),"No aplica, no hay meta",IF(AD14="N/A","No aplica, no hay meta",IF(CG14="","No se reportó avance",IF(OR(AND(O14="Capacidad",OR(P14="",P14=0,P14="N/A")),AND(O14="Reducción",OR(P14="",P14=0,P14="N/A"))),"Se requiere valor de línea base para este tipo de acumulación",IF(OR(AND(O14="Flujo",OR(P14&lt;&gt;"",P14&lt;&gt;0,P14&lt;&gt;"N/A"),CG14="N/A"),AND(O14="Stock",OR(P14&lt;&gt;"",P14&lt;&gt;0,P14&lt;&gt;"N/A"),CG14="N/A")),"No aplica",IF(O14="Flujo",IF(CG14/AD14&gt;1,1.00001,CG14/AD14),IF(O14="Stock",IF(CG14/AD14&gt;1,1.00001,CG14/AD14),IF(O14="Acumulado",IF((CG14)/AD14&gt;1,1.00001,(CG14)/AD14),IF(O14="Capacidad",IF(((CG14-P14)/(AD14-P14))&gt;1,1.00001,((CG14-P14)/(AD14-P14))),IF(O14="Reducción",IF(((P14-CG14)/(P14-CG14))&gt;1,1.00001,((P14-CG14)/(P14-CG14))),"Revisar acumulación"))))))))))),"Revisar fórmula")</f>
        <v>No aplica, no hay meta</v>
      </c>
      <c r="DY14" s="6" t="str">
        <f>+IFERROR(IF(K14=#REF!,"No requiere reporte",IF(OR(X14=0,X14=""),"No aplica, no hay meta",IF(X14="N/A","No aplica, no hay meta",IF(BE14="","No se reportó avance",IF(OR(AND(O14="Capacidad",OR(P14="",P14=0,P14="N/A")),AND(O14="Reducción",OR(P14="",P14=0,P14="N/A"))),"Se requiere valor de línea base para este tipo de acumulación",IF(OR(AND(O14="Flujo",OR(P14&lt;&gt;"",P14&lt;&gt;0,P14&lt;&gt;"N/A"),BE14="N/A"),AND(O14="Stock",OR(P14&lt;&gt;"",P14&lt;&gt;0,P14&lt;&gt;"N/A"),BE14="N/A")),"No aplica",IF(O14="Flujo",IF(BE14/X14&gt;1,1.00001,BE14/X14),IF(O14="Stock",IF(BE14/X14&gt;1,1.00001,BE14/X14),IF(O14="Acumulado",IF((BE14)/X14&gt;1,1.00001,(BE14)/X14),IF(O14="Capacidad",IF(((BE14-P14)/(X14-P14))&gt;1,1.00001,((BE14-P14)/(X14-P14))),IF(O14="Reducción",IF(((P14-BE14)/(P14-BE14))&gt;1,1.00001,((P14-BE14)/(P14-BE14))),"Revisar acumulación"))))))))))),"Revisar fórmula")</f>
        <v>Revisar fórmula</v>
      </c>
      <c r="DZ14" s="6" t="str">
        <f>+IFERROR(IF(K14=#REF!,"No requiere reporte",IF(OR(AC14=0,AC14=""),"No aplica, no hay meta",IF(AC14="N/A","No aplica, no hay meta",IF(BY14="","No se reportó avance",IF(OR(AND(O14="Capacidad",OR(P14="",P14=0,P14="N/A")),AND(O14="Reducción",OR(P14="",P14=0,P14="N/A"))),"Se requiere valor de línea base para este tipo de acumulación",IF(OR(AND(O14="Flujo",OR(P14&lt;&gt;"",P14&lt;&gt;0,P14&lt;&gt;"N/A"),BY14="N/A"),AND(O14="Stock",OR(P14&lt;&gt;"",P14&lt;&gt;0,P14&lt;&gt;"N/A"),BY14="N/A")),"No aplica",IF(O14="Flujo",IF(BY14/AC14&gt;1,1.00001,BY14/AC14),IF(O14="Stock",IF(BY14/AC14&gt;1,1.00001,BY14/AC14),IF(O14="Acumulado",IF((BY14)/AC14&gt;1,1.00001,(BY14)/AC14),IF(O14="Capacidad",IF(((BY14-P14)/(AC14-P14))&gt;1,1.00001,((BY14-P14)/(AC14-P14))),IF(O14="Reducción",IF(((P14-BY14)/(P14-BY14))&gt;1,1.00001,((P14-BY14)/(P14-BY14))),"Revisar acumulación"))))))))))),"Revisar fórmula")</f>
        <v>Revisar fórmula</v>
      </c>
      <c r="EA14" s="6">
        <f t="shared" ref="EA14:EA19" si="3">+IFERROR(IF(L14=L13,"No requiere reporte",IF(OR(AH14=0,AH14=""),"No aplica, no hay meta",IF(AH14="N/A","No aplica, no hay meta",IF(CS14="","No se reportó avance",IF(OR(AND(O14="Capacidad",OR(P14="",P14=0,P14="N/A")),AND(O14="Reducción",OR(P14="",P14=0,P14="N/A"))),"Se requiere valor de línea base para este tipo de acumulación",IF(OR(AND(O14="Flujo",OR(P14&lt;&gt;"",P14&lt;&gt;0,P14&lt;&gt;"N/A"),CS14="N/A"),AND(O14="Stock",OR(P14&lt;&gt;"",P14&lt;&gt;0,P14&lt;&gt;"N/A"),CS14="N/A")),"No aplica",IF(O14="Flujo",IF(CS14/AH14&gt;1,1.00001,CS14/AH14),IF(O14="Stock",IF(CS14/AH14&gt;1,1.00001,CS14/AH14),IF(O14="Acumulado",IF((CS14)/AH14&gt;1,1.00001,(CS14)/AH14),IF(O14="Capacidad",IF(((CS14-P14)/(AH14-P14))&gt;1,1.00001,((CS14-P14)/(AH14-P14))),IF(O14="Reducción",IF(((P14-CS14)/(P14-CS14))&gt;1,1.00001,((P14-CS14)/(P14-CS14))),"Revisar acumulación"))))))))))),"Revisar fórmula")</f>
        <v>0</v>
      </c>
      <c r="EB14" s="6" t="str">
        <f t="shared" ref="EB14:EB16" si="4">+IFERROR(IF(K14=K11,"No requiere reporte",IF(OR(AM14=0,AM14=""),"No aplica, no hay meta",IF(AM14="N/A","No aplica, no hay meta",IF(DM14="","No se reportó avance",IF(OR(AND(O14="Capacidad",OR(P14="",P14=0,P14="N/A")),AND(O14="Reducción",OR(P14="",P14=0,P14="N/A"))),"Se requiere valor de línea base para este tipo de acumulación",IF(OR(AND(O14="Flujo",OR(P14&lt;&gt;"",P14&lt;&gt;0,P14&lt;&gt;"N/A"),DM14="N/A"),AND(O14="Stock",OR(P14&lt;&gt;"",P14&lt;&gt;0,P14&lt;&gt;"N/A"),DM14="N/A")),"No aplica",IF(O14="Flujo",IF(DM14/AM14&gt;1,1.00001,DM14/AM14),IF(O14="Stock",IF(DM14/AM14&gt;1,1.00001,DM14/AM14),IF(O14="Acumulado",IF((DM14)/AM14&gt;1,1.00001,(DM14)/AM14),IF(O14="Capacidad",IF(((DM14-P14)/(AM14-P14))&gt;1,1.00001,((DM14-P14)/(AM14-P14))),IF(O14="Reducción",IF(((P14-DM14)/(P14-DM14))&gt;1,1.00001,((P14-DM14)/(P14-DM14))),"Revisar acumulación"))))))))))),"Revisar fórmula")</f>
        <v>No se reportó avance</v>
      </c>
      <c r="EC14" s="6">
        <f>+IFERROR(IF(K14=K13,"No requiere reporte",IF(OR(AN14=0,AN14=""),"No aplica, no hay meta",IF(AN14="N/A","No aplica, no hay meta",IF(DQ14="","No se reportó avance",IF(OR(AND(O14="Capacidad",OR(P14="",P14=0,P14="N/A")),AND(O14="Reducción",OR(P14="",P14=0,P14="N/A"))),"Se requiere valor de línea base para este tipo de acumulación",IF(OR(AND(O14="Flujo",OR(P14&lt;&gt;"",P14&lt;&gt;0,P14&lt;&gt;"N/A"),DQ14="N/A"),AND(O14="Stock",OR(P14&lt;&gt;"",P14&lt;&gt;0,P14&lt;&gt;"N/A"),DQ14="N/A")),"No aplica",IF(O14="Flujo",IF(DQ14/AN14&gt;1,1.00001,DQ14/AN14),IF(O14="Stock",IF(DQ14/AN14&gt;1,1.00001,DQ14/AN14),IF(O14="Acumulado",IF((DQ14)/AN14&gt;1,1.00001,(DQ14)/AN14),IF(O14="Capacidad",IF(((DQ14-P14)/(AN14-P14))&gt;1,1.00001,((DQ14-P14)/(AN14-P14))),IF(O14="Reducción",IF(((P14-DQ14)/(P14-DQ14))&gt;1,1.00001,((P14-DQ14)/(P14-DQ14))),"Revisar acumulación"))))))))))),"Revisar fórmula")</f>
        <v>0.89038461538461533</v>
      </c>
      <c r="ED14" s="76" t="s">
        <v>264</v>
      </c>
      <c r="EF14" s="83" t="str">
        <f t="shared" ref="EF14:EF19" si="5">+MID(I14,1,1)</f>
        <v>1</v>
      </c>
      <c r="EG14" s="83" t="str">
        <f t="shared" ref="EG14:EG19" si="6">+IF(OR(N14="Producto",N14="Resultado",N14="Impacto"),"Producto",N14)</f>
        <v>Producto</v>
      </c>
    </row>
    <row r="15" spans="1:137" s="83" customFormat="1" ht="95.25" customHeight="1" x14ac:dyDescent="0.25">
      <c r="A15" s="76" t="s">
        <v>41</v>
      </c>
      <c r="B15" s="77" t="s">
        <v>277</v>
      </c>
      <c r="C15" s="77" t="s">
        <v>120</v>
      </c>
      <c r="D15" s="77" t="s">
        <v>121</v>
      </c>
      <c r="E15" s="77" t="s">
        <v>122</v>
      </c>
      <c r="F15" s="77" t="s">
        <v>123</v>
      </c>
      <c r="G15" s="77" t="s">
        <v>36</v>
      </c>
      <c r="H15" s="76" t="s">
        <v>124</v>
      </c>
      <c r="I15" s="81" t="s">
        <v>125</v>
      </c>
      <c r="J15" s="84">
        <v>2</v>
      </c>
      <c r="K15" s="88" t="s">
        <v>140</v>
      </c>
      <c r="L15" s="95" t="s">
        <v>141</v>
      </c>
      <c r="M15" s="95" t="s">
        <v>142</v>
      </c>
      <c r="N15" s="78" t="s">
        <v>37</v>
      </c>
      <c r="O15" s="78" t="s">
        <v>39</v>
      </c>
      <c r="P15" s="78">
        <v>305</v>
      </c>
      <c r="Q15" s="78" t="s">
        <v>129</v>
      </c>
      <c r="R15" s="79">
        <v>44927</v>
      </c>
      <c r="S15" s="79">
        <v>46387</v>
      </c>
      <c r="T15" s="79"/>
      <c r="U15" s="79"/>
      <c r="V15" s="79"/>
      <c r="W15" s="79"/>
      <c r="X15" s="84">
        <v>504</v>
      </c>
      <c r="Y15" s="84"/>
      <c r="Z15" s="84"/>
      <c r="AA15" s="84">
        <v>200</v>
      </c>
      <c r="AB15" s="84">
        <v>200</v>
      </c>
      <c r="AC15" s="84">
        <v>400</v>
      </c>
      <c r="AD15" s="59">
        <v>0</v>
      </c>
      <c r="AE15" s="59">
        <v>0</v>
      </c>
      <c r="AF15" s="59">
        <v>0</v>
      </c>
      <c r="AG15" s="84">
        <v>400</v>
      </c>
      <c r="AH15" s="84">
        <v>400</v>
      </c>
      <c r="AI15" s="4"/>
      <c r="AJ15" s="4"/>
      <c r="AK15" s="4"/>
      <c r="AL15" s="4"/>
      <c r="AM15" s="84">
        <v>400</v>
      </c>
      <c r="AN15" s="59">
        <v>1704</v>
      </c>
      <c r="AO15" s="85" t="s">
        <v>117</v>
      </c>
      <c r="AP15" s="87" t="s">
        <v>143</v>
      </c>
      <c r="AQ15" s="77"/>
      <c r="AR15" s="77"/>
      <c r="AS15" s="85" t="s">
        <v>117</v>
      </c>
      <c r="AT15" s="87" t="s">
        <v>144</v>
      </c>
      <c r="AU15" s="77"/>
      <c r="AV15" s="77"/>
      <c r="AW15" s="85">
        <v>0</v>
      </c>
      <c r="AX15" s="87" t="s">
        <v>145</v>
      </c>
      <c r="AY15" s="77"/>
      <c r="AZ15" s="77"/>
      <c r="BA15" s="85">
        <v>504</v>
      </c>
      <c r="BB15" s="87" t="s">
        <v>146</v>
      </c>
      <c r="BC15" s="77"/>
      <c r="BD15" s="77"/>
      <c r="BE15" s="85">
        <f>+SUM(AW15:BC15)</f>
        <v>504</v>
      </c>
      <c r="BF15" s="81" t="s">
        <v>147</v>
      </c>
      <c r="BG15" s="77"/>
      <c r="BH15" s="77"/>
      <c r="BI15" s="85" t="s">
        <v>36</v>
      </c>
      <c r="BJ15" s="81" t="s">
        <v>136</v>
      </c>
      <c r="BK15" s="77"/>
      <c r="BL15" s="77"/>
      <c r="BM15" s="85" t="s">
        <v>36</v>
      </c>
      <c r="BN15" s="81" t="s">
        <v>148</v>
      </c>
      <c r="BO15" s="77"/>
      <c r="BP15" s="77"/>
      <c r="BQ15" s="85">
        <v>0</v>
      </c>
      <c r="BR15" s="81" t="s">
        <v>149</v>
      </c>
      <c r="BS15" s="77"/>
      <c r="BT15" s="77"/>
      <c r="BU15" s="85">
        <v>1983</v>
      </c>
      <c r="BV15" s="81" t="s">
        <v>150</v>
      </c>
      <c r="BW15" s="77"/>
      <c r="BX15" s="77"/>
      <c r="BY15" s="76">
        <v>1983</v>
      </c>
      <c r="BZ15" s="81" t="s">
        <v>151</v>
      </c>
      <c r="CA15" s="77"/>
      <c r="CB15" s="77"/>
      <c r="CC15" s="77" t="s">
        <v>36</v>
      </c>
      <c r="CD15" s="77" t="s">
        <v>272</v>
      </c>
      <c r="CE15" s="77"/>
      <c r="CF15" s="77"/>
      <c r="CG15" s="90">
        <v>0</v>
      </c>
      <c r="CH15" s="94" t="s">
        <v>274</v>
      </c>
      <c r="CI15" s="89"/>
      <c r="CJ15" s="89"/>
      <c r="CK15" s="77"/>
      <c r="CL15" s="77"/>
      <c r="CM15" s="77"/>
      <c r="CN15" s="77"/>
      <c r="CO15" s="77"/>
      <c r="CP15" s="77"/>
      <c r="CQ15" s="77"/>
      <c r="CR15" s="77"/>
      <c r="CS15" s="90">
        <f>+CG15</f>
        <v>0</v>
      </c>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90">
        <f t="shared" ref="DQ15" si="7">SUM(BE15+BY15+CS15)</f>
        <v>2487</v>
      </c>
      <c r="DR15" s="77"/>
      <c r="DS15" s="91">
        <v>8970078000</v>
      </c>
      <c r="DT15" s="92">
        <v>0</v>
      </c>
      <c r="DU15" s="92">
        <v>0</v>
      </c>
      <c r="DV15" s="4">
        <f t="shared" si="0"/>
        <v>0</v>
      </c>
      <c r="DW15" s="4">
        <f t="shared" si="1"/>
        <v>0</v>
      </c>
      <c r="DX15" s="6" t="str">
        <f t="shared" si="2"/>
        <v>No aplica, no hay meta</v>
      </c>
      <c r="DY15" s="6">
        <f t="shared" ref="DY15:DY19" si="8">+IFERROR(IF(K15=K14,"No requiere reporte",IF(OR(X15=0,X15=""),"No aplica, no hay meta",IF(X15="N/A","No aplica, no hay meta",IF(BE15="","No se reportó avance",IF(OR(AND(O15="Capacidad",OR(P15="",P15=0,P15="N/A")),AND(O15="Reducción",OR(P15="",P15=0,P15="N/A"))),"Se requiere valor de línea base para este tipo de acumulación",IF(OR(AND(O15="Flujo",OR(P15&lt;&gt;"",P15&lt;&gt;0,P15&lt;&gt;"N/A"),BE15="N/A"),AND(O15="Stock",OR(P15&lt;&gt;"",P15&lt;&gt;0,P15&lt;&gt;"N/A"),BE15="N/A")),"No aplica",IF(O15="Flujo",IF(BE15/X15&gt;1,1.00001,BE15/X15),IF(O15="Stock",IF(BE15/X15&gt;1,1.00001,BE15/X15),IF(O15="Acumulado",IF((BE15)/X15&gt;1,1.00001,(BE15)/X15),IF(O15="Capacidad",IF(((BE15-P15)/(X15-P15))&gt;1,1.00001,((BE15-P15)/(X15-P15))),IF(O15="Reducción",IF(((P15-BE15)/(P15-BE15))&gt;1,1.00001,((P15-BE15)/(P15-BE15))),"Revisar acumulación"))))))))))),"Revisar fórmula")</f>
        <v>1</v>
      </c>
      <c r="DZ15" s="6">
        <f t="shared" ref="DZ15:DZ19" si="9">+IFERROR(IF(K15=K14,"No requiere reporte",IF(OR(AC15=0,AC15=""),"No aplica, no hay meta",IF(AC15="N/A","No aplica, no hay meta",IF(BY15="","No se reportó avance",IF(OR(AND(O15="Capacidad",OR(P15="",P15=0,P15="N/A")),AND(O15="Reducción",OR(P15="",P15=0,P15="N/A"))),"Se requiere valor de línea base para este tipo de acumulación",IF(OR(AND(O15="Flujo",OR(P15&lt;&gt;"",P15&lt;&gt;0,P15&lt;&gt;"N/A"),BY15="N/A"),AND(O15="Stock",OR(P15&lt;&gt;"",P15&lt;&gt;0,P15&lt;&gt;"N/A"),BY15="N/A")),"No aplica",IF(O15="Flujo",IF(BY15/AC15&gt;1,1.00001,BY15/AC15),IF(O15="Stock",IF(BY15/AC15&gt;1,1.00001,BY15/AC15),IF(O15="Acumulado",IF((BY15)/AC15&gt;1,1.00001,(BY15)/AC15),IF(O15="Capacidad",IF(((BY15-P15)/(AC15-P15))&gt;1,1.00001,((BY15-P15)/(AC15-P15))),IF(O15="Reducción",IF(((P15-BY15)/(P15-BY15))&gt;1,1.00001,((P15-BY15)/(P15-BY15))),"Revisar acumulación"))))))))))),"Revisar fórmula")</f>
        <v>1.0000100000000001</v>
      </c>
      <c r="EA15" s="6">
        <f t="shared" si="3"/>
        <v>0</v>
      </c>
      <c r="EB15" s="6" t="str">
        <f t="shared" si="4"/>
        <v>No se reportó avance</v>
      </c>
      <c r="EC15" s="6">
        <f>+IFERROR(IF(K15=K14,"No requiere reporte",IF(OR(AN15=0,AN15=""),"No aplica, no hay meta",IF(AN15="N/A","No aplica, no hay meta",IF(DQ15="","No se reportó avance",IF(OR(AND(O15="Capacidad",OR(P15="",P15=0,P15="N/A")),AND(O15="Reducción",OR(P15="",P15=0,P15="N/A"))),"Se requiere valor de línea base para este tipo de acumulación",IF(OR(AND(O15="Flujo",OR(P15&lt;&gt;"",P15&lt;&gt;0,P15&lt;&gt;"N/A"),DQ15="N/A"),AND(O15="Stock",OR(P15&lt;&gt;"",P15&lt;&gt;0,P15&lt;&gt;"N/A"),DQ15="N/A")),"No aplica",IF(O15="Flujo",IF(DQ15/AN15&gt;1,1.00001,DQ15/AN15),IF(O15="Stock",IF(DQ15/AN15&gt;1,1.00001,DQ15/AN15),IF(O15="Acumulado",IF((DQ15)/AN15&gt;1,1.00001,(DQ15)/AN15),IF(O15="Capacidad",IF(((DQ15-P15)/(AN15-P15))&gt;1,1.00001,((DQ15-P15)/(AN15-P15))),IF(O15="Reducción",IF(((P15-DQ15)/(P15-DQ15))&gt;1,1.00001,((P15-DQ15)/(P15-DQ15))),"Revisar acumulación"))))))))))),"Revisar fórmula")</f>
        <v>1.0000100000000001</v>
      </c>
      <c r="ED15" s="76" t="s">
        <v>265</v>
      </c>
      <c r="EF15" s="83" t="str">
        <f t="shared" si="5"/>
        <v>1</v>
      </c>
      <c r="EG15" s="83" t="str">
        <f t="shared" si="6"/>
        <v>Producto</v>
      </c>
    </row>
    <row r="16" spans="1:137" s="83" customFormat="1" ht="201" customHeight="1" x14ac:dyDescent="0.2">
      <c r="A16" s="76" t="s">
        <v>41</v>
      </c>
      <c r="B16" s="77" t="s">
        <v>277</v>
      </c>
      <c r="C16" s="77" t="s">
        <v>120</v>
      </c>
      <c r="D16" s="77" t="s">
        <v>121</v>
      </c>
      <c r="E16" s="77" t="s">
        <v>122</v>
      </c>
      <c r="F16" s="77" t="s">
        <v>123</v>
      </c>
      <c r="G16" s="77" t="s">
        <v>36</v>
      </c>
      <c r="H16" s="76" t="s">
        <v>124</v>
      </c>
      <c r="I16" s="81" t="s">
        <v>125</v>
      </c>
      <c r="J16" s="84">
        <v>3</v>
      </c>
      <c r="K16" s="88" t="s">
        <v>152</v>
      </c>
      <c r="L16" s="95" t="s">
        <v>153</v>
      </c>
      <c r="M16" s="95" t="s">
        <v>154</v>
      </c>
      <c r="N16" s="78" t="s">
        <v>118</v>
      </c>
      <c r="O16" s="78" t="s">
        <v>119</v>
      </c>
      <c r="P16" s="80">
        <v>1</v>
      </c>
      <c r="Q16" s="78" t="s">
        <v>38</v>
      </c>
      <c r="R16" s="79">
        <v>44927</v>
      </c>
      <c r="S16" s="79">
        <v>46387</v>
      </c>
      <c r="T16" s="79"/>
      <c r="U16" s="79"/>
      <c r="V16" s="79"/>
      <c r="W16" s="79"/>
      <c r="X16" s="80">
        <v>1</v>
      </c>
      <c r="Y16" s="80">
        <v>1</v>
      </c>
      <c r="Z16" s="80">
        <v>1</v>
      </c>
      <c r="AA16" s="80">
        <v>1</v>
      </c>
      <c r="AB16" s="80">
        <v>1</v>
      </c>
      <c r="AC16" s="80">
        <v>1</v>
      </c>
      <c r="AD16" s="58">
        <v>1</v>
      </c>
      <c r="AE16" s="58">
        <v>1</v>
      </c>
      <c r="AF16" s="58">
        <v>1</v>
      </c>
      <c r="AG16" s="58">
        <v>1</v>
      </c>
      <c r="AH16" s="80">
        <v>1</v>
      </c>
      <c r="AI16" s="4"/>
      <c r="AJ16" s="4"/>
      <c r="AK16" s="4"/>
      <c r="AL16" s="4"/>
      <c r="AM16" s="80">
        <v>1</v>
      </c>
      <c r="AN16" s="58">
        <v>1</v>
      </c>
      <c r="AO16" s="77">
        <f>25/25</f>
        <v>1</v>
      </c>
      <c r="AP16" s="87" t="s">
        <v>155</v>
      </c>
      <c r="AQ16" s="77"/>
      <c r="AR16" s="77"/>
      <c r="AS16" s="77">
        <f>21/21</f>
        <v>1</v>
      </c>
      <c r="AT16" s="87" t="s">
        <v>156</v>
      </c>
      <c r="AU16" s="77"/>
      <c r="AV16" s="77"/>
      <c r="AW16" s="77">
        <f>62/62</f>
        <v>1</v>
      </c>
      <c r="AX16" s="87" t="s">
        <v>157</v>
      </c>
      <c r="AY16" s="4"/>
      <c r="AZ16" s="4"/>
      <c r="BA16" s="77">
        <f>10/10</f>
        <v>1</v>
      </c>
      <c r="BB16" s="87" t="s">
        <v>158</v>
      </c>
      <c r="BC16" s="4"/>
      <c r="BD16" s="4"/>
      <c r="BE16" s="77">
        <f>118/118</f>
        <v>1</v>
      </c>
      <c r="BF16" s="81" t="s">
        <v>159</v>
      </c>
      <c r="BG16" s="77"/>
      <c r="BH16" s="77"/>
      <c r="BI16" s="77">
        <f>123/123</f>
        <v>1</v>
      </c>
      <c r="BJ16" s="81" t="s">
        <v>160</v>
      </c>
      <c r="BK16" s="77"/>
      <c r="BL16" s="77"/>
      <c r="BM16" s="77">
        <f>26/26</f>
        <v>1</v>
      </c>
      <c r="BN16" s="81" t="s">
        <v>161</v>
      </c>
      <c r="BO16" s="77"/>
      <c r="BP16" s="77"/>
      <c r="BQ16" s="77">
        <f>83/83</f>
        <v>1</v>
      </c>
      <c r="BR16" s="81" t="s">
        <v>162</v>
      </c>
      <c r="BS16" s="77"/>
      <c r="BT16" s="77"/>
      <c r="BU16" s="77">
        <f>12/12</f>
        <v>1</v>
      </c>
      <c r="BV16" s="81" t="s">
        <v>163</v>
      </c>
      <c r="BW16" s="77"/>
      <c r="BX16" s="77"/>
      <c r="BY16" s="4">
        <f>244/244</f>
        <v>1</v>
      </c>
      <c r="BZ16" s="81" t="s">
        <v>164</v>
      </c>
      <c r="CA16" s="77"/>
      <c r="CB16" s="77"/>
      <c r="CC16" s="77">
        <f>29/29</f>
        <v>1</v>
      </c>
      <c r="CD16" s="77" t="s">
        <v>165</v>
      </c>
      <c r="CE16" s="77"/>
      <c r="CF16" s="77"/>
      <c r="CG16" s="89">
        <f>5/5</f>
        <v>1</v>
      </c>
      <c r="CH16" s="94" t="s">
        <v>270</v>
      </c>
      <c r="CI16" s="89"/>
      <c r="CJ16" s="89"/>
      <c r="CK16" s="77"/>
      <c r="CL16" s="77"/>
      <c r="CM16" s="77"/>
      <c r="CN16" s="77"/>
      <c r="CO16" s="77"/>
      <c r="CP16" s="77"/>
      <c r="CQ16" s="77"/>
      <c r="CR16" s="77"/>
      <c r="CS16" s="89">
        <f>(29+5)/(29+5)</f>
        <v>1</v>
      </c>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89">
        <f>(396/396)</f>
        <v>1</v>
      </c>
      <c r="DR16" s="77"/>
      <c r="DS16" s="91">
        <v>2582898000</v>
      </c>
      <c r="DT16" s="92">
        <v>225023926</v>
      </c>
      <c r="DU16" s="92">
        <v>19551523</v>
      </c>
      <c r="DV16" s="4">
        <f t="shared" si="0"/>
        <v>8.7120717116974805E-2</v>
      </c>
      <c r="DW16" s="4">
        <f t="shared" si="1"/>
        <v>7.5696070847551863E-3</v>
      </c>
      <c r="DX16" s="6">
        <f t="shared" si="2"/>
        <v>1</v>
      </c>
      <c r="DY16" s="6">
        <f t="shared" si="8"/>
        <v>1</v>
      </c>
      <c r="DZ16" s="6">
        <f t="shared" si="9"/>
        <v>1</v>
      </c>
      <c r="EA16" s="6">
        <f t="shared" si="3"/>
        <v>1</v>
      </c>
      <c r="EB16" s="6" t="str">
        <f t="shared" si="4"/>
        <v>No se reportó avance</v>
      </c>
      <c r="EC16" s="6">
        <f t="shared" ref="EC16:EC19" si="10">+IFERROR(IF(K16=K15,"No requiere reporte",IF(OR(AN16=0,AN16=""),"No aplica, no hay meta",IF(AN16="N/A","No aplica, no hay meta",IF(DQ16="","No se reportó avance",IF(OR(AND(O16="Capacidad",OR(P16="",P16=0,P16="N/A")),AND(O16="Reducción",OR(P16="",P16=0,P16="N/A"))),"Se requiere valor de línea base para este tipo de acumulación",IF(OR(AND(O16="Flujo",OR(P16&lt;&gt;"",P16&lt;&gt;0,P16&lt;&gt;"N/A"),DQ16="N/A"),AND(O16="Stock",OR(P16&lt;&gt;"",P16&lt;&gt;0,P16&lt;&gt;"N/A"),DQ16="N/A")),"No aplica",IF(O16="Flujo",IF(DQ16/AN16&gt;1,1.00001,DQ16/AN16),IF(O16="Stock",IF(DQ16/AN16&gt;1,1.00001,DQ16/AN16),IF(O16="Acumulado",IF((DQ16)/AN16&gt;1,1.00001,(DQ16)/AN16),IF(O16="Capacidad",IF(((DQ16-P16)/(AN16-P16))&gt;1,1.00001,((DQ16-P16)/(AN16-P16))),IF(O16="Reducción",IF(((P16-DQ16)/(P16-DQ16))&gt;1,1.00001,((P16-DQ16)/(P16-DQ16))),"Revisar acumulación"))))))))))),"Revisar fórmula")</f>
        <v>1</v>
      </c>
      <c r="ED16" s="86"/>
      <c r="EF16" s="83" t="str">
        <f t="shared" si="5"/>
        <v>1</v>
      </c>
      <c r="EG16" s="83" t="str">
        <f t="shared" si="6"/>
        <v>Gestión</v>
      </c>
    </row>
    <row r="17" spans="1:137" s="83" customFormat="1" ht="156.75" customHeight="1" x14ac:dyDescent="0.2">
      <c r="A17" s="76" t="s">
        <v>41</v>
      </c>
      <c r="B17" s="77" t="s">
        <v>277</v>
      </c>
      <c r="C17" s="77" t="s">
        <v>120</v>
      </c>
      <c r="D17" s="77" t="s">
        <v>121</v>
      </c>
      <c r="E17" s="77" t="s">
        <v>122</v>
      </c>
      <c r="F17" s="77" t="s">
        <v>123</v>
      </c>
      <c r="G17" s="77" t="s">
        <v>36</v>
      </c>
      <c r="H17" s="76" t="s">
        <v>124</v>
      </c>
      <c r="I17" s="81" t="s">
        <v>125</v>
      </c>
      <c r="J17" s="84">
        <v>4</v>
      </c>
      <c r="K17" s="95" t="s">
        <v>166</v>
      </c>
      <c r="L17" s="95" t="s">
        <v>167</v>
      </c>
      <c r="M17" s="95" t="s">
        <v>168</v>
      </c>
      <c r="N17" s="78" t="s">
        <v>37</v>
      </c>
      <c r="O17" s="78" t="s">
        <v>119</v>
      </c>
      <c r="P17" s="80">
        <v>1</v>
      </c>
      <c r="Q17" s="78" t="s">
        <v>38</v>
      </c>
      <c r="R17" s="79">
        <v>44927</v>
      </c>
      <c r="S17" s="79">
        <v>46387</v>
      </c>
      <c r="T17" s="79"/>
      <c r="U17" s="79"/>
      <c r="V17" s="79"/>
      <c r="W17" s="79"/>
      <c r="X17" s="80">
        <v>1</v>
      </c>
      <c r="Y17" s="80">
        <v>1</v>
      </c>
      <c r="Z17" s="80">
        <v>1</v>
      </c>
      <c r="AA17" s="80">
        <v>1</v>
      </c>
      <c r="AB17" s="80">
        <v>1</v>
      </c>
      <c r="AC17" s="80">
        <v>1</v>
      </c>
      <c r="AD17" s="58">
        <v>1</v>
      </c>
      <c r="AE17" s="58">
        <v>1</v>
      </c>
      <c r="AF17" s="58">
        <v>1</v>
      </c>
      <c r="AG17" s="58">
        <v>1</v>
      </c>
      <c r="AH17" s="80">
        <v>1</v>
      </c>
      <c r="AI17" s="4"/>
      <c r="AJ17" s="4"/>
      <c r="AK17" s="4"/>
      <c r="AL17" s="4"/>
      <c r="AM17" s="80">
        <v>1</v>
      </c>
      <c r="AN17" s="58">
        <v>1</v>
      </c>
      <c r="AO17" s="77" t="s">
        <v>36</v>
      </c>
      <c r="AP17" s="87" t="s">
        <v>169</v>
      </c>
      <c r="AQ17" s="77"/>
      <c r="AR17" s="77"/>
      <c r="AS17" s="77">
        <f>11/11</f>
        <v>1</v>
      </c>
      <c r="AT17" s="87" t="s">
        <v>170</v>
      </c>
      <c r="AU17" s="77"/>
      <c r="AV17" s="77"/>
      <c r="AW17" s="77">
        <f>9/9</f>
        <v>1</v>
      </c>
      <c r="AX17" s="87" t="s">
        <v>171</v>
      </c>
      <c r="AY17" s="77"/>
      <c r="AZ17" s="77"/>
      <c r="BA17" s="77">
        <f>6/6</f>
        <v>1</v>
      </c>
      <c r="BB17" s="87" t="s">
        <v>172</v>
      </c>
      <c r="BC17" s="77"/>
      <c r="BD17" s="77"/>
      <c r="BE17" s="77">
        <f>26/26</f>
        <v>1</v>
      </c>
      <c r="BF17" s="81" t="s">
        <v>173</v>
      </c>
      <c r="BG17" s="77"/>
      <c r="BH17" s="77"/>
      <c r="BI17" s="77">
        <v>0</v>
      </c>
      <c r="BJ17" s="81" t="s">
        <v>174</v>
      </c>
      <c r="BK17" s="77"/>
      <c r="BL17" s="77"/>
      <c r="BM17" s="77">
        <v>0</v>
      </c>
      <c r="BN17" s="81" t="s">
        <v>175</v>
      </c>
      <c r="BO17" s="77"/>
      <c r="BP17" s="77"/>
      <c r="BQ17" s="77">
        <v>0</v>
      </c>
      <c r="BR17" s="81" t="s">
        <v>176</v>
      </c>
      <c r="BS17" s="77"/>
      <c r="BT17" s="77"/>
      <c r="BU17" s="77">
        <v>0</v>
      </c>
      <c r="BV17" s="81" t="s">
        <v>177</v>
      </c>
      <c r="BW17" s="77"/>
      <c r="BX17" s="77"/>
      <c r="BY17" s="98">
        <f>+BW17</f>
        <v>0</v>
      </c>
      <c r="BZ17" s="81" t="s">
        <v>276</v>
      </c>
      <c r="CA17" s="77"/>
      <c r="CB17" s="77"/>
      <c r="CC17" s="77">
        <f>10/10</f>
        <v>1</v>
      </c>
      <c r="CD17" s="77" t="s">
        <v>178</v>
      </c>
      <c r="CE17" s="77" t="s">
        <v>179</v>
      </c>
      <c r="CF17" s="77"/>
      <c r="CG17" s="89">
        <f>18/18</f>
        <v>1</v>
      </c>
      <c r="CH17" s="94" t="s">
        <v>269</v>
      </c>
      <c r="CI17" s="89"/>
      <c r="CJ17" s="89"/>
      <c r="CK17" s="77"/>
      <c r="CL17" s="77"/>
      <c r="CM17" s="77"/>
      <c r="CN17" s="77"/>
      <c r="CO17" s="77"/>
      <c r="CP17" s="77"/>
      <c r="CQ17" s="77"/>
      <c r="CR17" s="77"/>
      <c r="CS17" s="89">
        <f>(18+10)/(18+10)</f>
        <v>1</v>
      </c>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89">
        <f>(54/54)/2</f>
        <v>0.5</v>
      </c>
      <c r="DR17" s="77"/>
      <c r="DS17" s="93">
        <v>400982379</v>
      </c>
      <c r="DT17" s="92">
        <v>297982379</v>
      </c>
      <c r="DU17" s="92">
        <v>164181148</v>
      </c>
      <c r="DV17" s="4">
        <f t="shared" si="0"/>
        <v>0.74313085712926052</v>
      </c>
      <c r="DW17" s="4">
        <f t="shared" si="1"/>
        <v>0.40944728895431087</v>
      </c>
      <c r="DX17" s="6">
        <f t="shared" si="2"/>
        <v>1</v>
      </c>
      <c r="DY17" s="6">
        <f t="shared" si="8"/>
        <v>1</v>
      </c>
      <c r="DZ17" s="6">
        <f t="shared" si="9"/>
        <v>0</v>
      </c>
      <c r="EA17" s="6">
        <f t="shared" si="3"/>
        <v>1</v>
      </c>
      <c r="EB17" s="6" t="str">
        <f t="shared" ref="EB17:EB19" si="11">+IFERROR(IF(K17=K14,"No requiere reporte",IF(OR(AM17=0,AM17=""),"No aplica, no hay meta",IF(AM17="N/A","No aplica, no hay meta",IF(DM17="","No se reportó avance",IF(OR(AND(O17="Capacidad",OR(P17="",P17=0,P17="N/A")),AND(O17="Reducción",OR(P17="",P17=0,P17="N/A"))),"Se requiere valor de línea base para este tipo de acumulación",IF(OR(AND(O17="Flujo",OR(P17&lt;&gt;"",P17&lt;&gt;0,P17&lt;&gt;"N/A"),DM17="N/A"),AND(O17="Stock",OR(P17&lt;&gt;"",P17&lt;&gt;0,P17&lt;&gt;"N/A"),DM17="N/A")),"No aplica",IF(O17="Flujo",IF(DM17/AM17&gt;1,1.00001,DM17/AM17),IF(O17="Stock",IF(DM17/AM17&gt;1,1.00001,DM17/AM17),IF(O17="Acumulado",IF((DM17)/AM17&gt;1,1.00001,(DM17)/AM17),IF(O17="Capacidad",IF(((DM17-P17)/(AM17-P17))&gt;1,1.00001,((DM17-P17)/(AM17-P17))),IF(O17="Reducción",IF(((P17-DM17)/(P17-DM17))&gt;1,1.00001,((P17-DM17)/(P17-DM17))),"Revisar acumulación"))))))))))),"Revisar fórmula")</f>
        <v>No se reportó avance</v>
      </c>
      <c r="EC17" s="6">
        <f t="shared" si="10"/>
        <v>0.5</v>
      </c>
      <c r="ED17" s="86"/>
      <c r="EF17" s="83" t="str">
        <f t="shared" si="5"/>
        <v>1</v>
      </c>
      <c r="EG17" s="83" t="str">
        <f t="shared" si="6"/>
        <v>Producto</v>
      </c>
    </row>
    <row r="18" spans="1:137" s="83" customFormat="1" ht="201.75" customHeight="1" x14ac:dyDescent="0.25">
      <c r="A18" s="76" t="s">
        <v>41</v>
      </c>
      <c r="B18" s="77" t="s">
        <v>277</v>
      </c>
      <c r="C18" s="77" t="s">
        <v>120</v>
      </c>
      <c r="D18" s="77" t="s">
        <v>121</v>
      </c>
      <c r="E18" s="77" t="s">
        <v>122</v>
      </c>
      <c r="F18" s="77" t="s">
        <v>123</v>
      </c>
      <c r="G18" s="77" t="s">
        <v>36</v>
      </c>
      <c r="H18" s="76" t="s">
        <v>124</v>
      </c>
      <c r="I18" s="81" t="s">
        <v>125</v>
      </c>
      <c r="J18" s="84">
        <v>5</v>
      </c>
      <c r="K18" s="95" t="s">
        <v>180</v>
      </c>
      <c r="L18" s="95" t="s">
        <v>181</v>
      </c>
      <c r="M18" s="95" t="s">
        <v>182</v>
      </c>
      <c r="N18" s="78" t="s">
        <v>118</v>
      </c>
      <c r="O18" s="78" t="s">
        <v>119</v>
      </c>
      <c r="P18" s="80">
        <v>1</v>
      </c>
      <c r="Q18" s="78" t="s">
        <v>38</v>
      </c>
      <c r="R18" s="79">
        <v>44927</v>
      </c>
      <c r="S18" s="79">
        <v>46387</v>
      </c>
      <c r="T18" s="79"/>
      <c r="U18" s="79"/>
      <c r="V18" s="79"/>
      <c r="W18" s="79"/>
      <c r="X18" s="80">
        <v>1</v>
      </c>
      <c r="Y18" s="80">
        <v>1</v>
      </c>
      <c r="Z18" s="80">
        <v>10.01</v>
      </c>
      <c r="AA18" s="80">
        <v>1</v>
      </c>
      <c r="AB18" s="80">
        <v>1</v>
      </c>
      <c r="AC18" s="80">
        <v>1</v>
      </c>
      <c r="AD18" s="58">
        <v>1</v>
      </c>
      <c r="AE18" s="58">
        <v>1</v>
      </c>
      <c r="AF18" s="58">
        <v>1</v>
      </c>
      <c r="AG18" s="58">
        <v>1</v>
      </c>
      <c r="AH18" s="80">
        <v>1</v>
      </c>
      <c r="AI18" s="4"/>
      <c r="AJ18" s="4"/>
      <c r="AK18" s="4"/>
      <c r="AL18" s="4"/>
      <c r="AM18" s="80">
        <v>1</v>
      </c>
      <c r="AN18" s="58">
        <v>1</v>
      </c>
      <c r="AO18" s="77">
        <v>1</v>
      </c>
      <c r="AP18" s="87" t="s">
        <v>183</v>
      </c>
      <c r="AQ18" s="77"/>
      <c r="AR18" s="77"/>
      <c r="AS18" s="77">
        <f>864/864</f>
        <v>1</v>
      </c>
      <c r="AT18" s="87" t="s">
        <v>184</v>
      </c>
      <c r="AU18" s="77"/>
      <c r="AV18" s="77"/>
      <c r="AW18" s="77">
        <f>864/864</f>
        <v>1</v>
      </c>
      <c r="AX18" s="87" t="s">
        <v>185</v>
      </c>
      <c r="AY18" s="77"/>
      <c r="AZ18" s="77"/>
      <c r="BA18" s="77">
        <f>864/864</f>
        <v>1</v>
      </c>
      <c r="BB18" s="87" t="s">
        <v>186</v>
      </c>
      <c r="BC18" s="77"/>
      <c r="BD18" s="77"/>
      <c r="BE18" s="77">
        <f>864/864</f>
        <v>1</v>
      </c>
      <c r="BF18" s="81" t="s">
        <v>187</v>
      </c>
      <c r="BG18" s="77"/>
      <c r="BH18" s="77"/>
      <c r="BI18" s="77">
        <f>841/841</f>
        <v>1</v>
      </c>
      <c r="BJ18" s="81" t="s">
        <v>188</v>
      </c>
      <c r="BK18" s="77"/>
      <c r="BL18" s="77"/>
      <c r="BM18" s="77">
        <f>841/841</f>
        <v>1</v>
      </c>
      <c r="BN18" s="81" t="s">
        <v>189</v>
      </c>
      <c r="BO18" s="77"/>
      <c r="BP18" s="77"/>
      <c r="BQ18" s="77">
        <f>841/841</f>
        <v>1</v>
      </c>
      <c r="BR18" s="81" t="s">
        <v>190</v>
      </c>
      <c r="BS18" s="77"/>
      <c r="BT18" s="77"/>
      <c r="BU18" s="77">
        <f>841/841</f>
        <v>1</v>
      </c>
      <c r="BV18" s="81" t="s">
        <v>191</v>
      </c>
      <c r="BW18" s="77"/>
      <c r="BX18" s="77"/>
      <c r="BY18" s="4">
        <f>841/841</f>
        <v>1</v>
      </c>
      <c r="BZ18" s="81" t="s">
        <v>192</v>
      </c>
      <c r="CA18" s="77"/>
      <c r="CB18" s="77"/>
      <c r="CC18" s="77">
        <f>841/841</f>
        <v>1</v>
      </c>
      <c r="CD18" s="82" t="s">
        <v>193</v>
      </c>
      <c r="CE18" s="77"/>
      <c r="CF18" s="77"/>
      <c r="CG18" s="89">
        <f>841/841</f>
        <v>1</v>
      </c>
      <c r="CH18" s="94" t="s">
        <v>268</v>
      </c>
      <c r="CI18" s="89"/>
      <c r="CJ18" s="89"/>
      <c r="CK18" s="77"/>
      <c r="CL18" s="77"/>
      <c r="CM18" s="77"/>
      <c r="CN18" s="77"/>
      <c r="CO18" s="77"/>
      <c r="CP18" s="77"/>
      <c r="CQ18" s="77"/>
      <c r="CR18" s="77"/>
      <c r="CS18" s="89">
        <f>841/841</f>
        <v>1</v>
      </c>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89">
        <f>(841/841)</f>
        <v>1</v>
      </c>
      <c r="DR18" s="77"/>
      <c r="DS18" s="93">
        <v>10934791621</v>
      </c>
      <c r="DT18" s="92">
        <v>4415513547</v>
      </c>
      <c r="DU18" s="92">
        <v>1444934975</v>
      </c>
      <c r="DV18" s="4">
        <f t="shared" si="0"/>
        <v>0.40380408699513892</v>
      </c>
      <c r="DW18" s="4">
        <f t="shared" si="1"/>
        <v>0.13214106176701509</v>
      </c>
      <c r="DX18" s="6">
        <f t="shared" si="2"/>
        <v>1</v>
      </c>
      <c r="DY18" s="6">
        <f t="shared" si="8"/>
        <v>1</v>
      </c>
      <c r="DZ18" s="6">
        <f t="shared" si="9"/>
        <v>1</v>
      </c>
      <c r="EA18" s="6">
        <f t="shared" si="3"/>
        <v>1</v>
      </c>
      <c r="EB18" s="6" t="str">
        <f t="shared" si="11"/>
        <v>No se reportó avance</v>
      </c>
      <c r="EC18" s="6">
        <f t="shared" si="10"/>
        <v>1</v>
      </c>
      <c r="ED18" s="76" t="s">
        <v>266</v>
      </c>
      <c r="EF18" s="83" t="str">
        <f t="shared" si="5"/>
        <v>1</v>
      </c>
      <c r="EG18" s="83" t="str">
        <f t="shared" si="6"/>
        <v>Gestión</v>
      </c>
    </row>
    <row r="19" spans="1:137" s="83" customFormat="1" ht="108" customHeight="1" x14ac:dyDescent="0.2">
      <c r="A19" s="76" t="s">
        <v>41</v>
      </c>
      <c r="B19" s="77" t="s">
        <v>277</v>
      </c>
      <c r="C19" s="77" t="s">
        <v>120</v>
      </c>
      <c r="D19" s="77" t="s">
        <v>121</v>
      </c>
      <c r="E19" s="77" t="s">
        <v>122</v>
      </c>
      <c r="F19" s="77" t="s">
        <v>123</v>
      </c>
      <c r="G19" s="77" t="s">
        <v>36</v>
      </c>
      <c r="H19" s="76" t="s">
        <v>124</v>
      </c>
      <c r="I19" s="81" t="s">
        <v>125</v>
      </c>
      <c r="J19" s="84">
        <v>6</v>
      </c>
      <c r="K19" s="95" t="s">
        <v>194</v>
      </c>
      <c r="L19" s="95" t="s">
        <v>195</v>
      </c>
      <c r="M19" s="95" t="s">
        <v>196</v>
      </c>
      <c r="N19" s="78" t="s">
        <v>37</v>
      </c>
      <c r="O19" s="78" t="s">
        <v>39</v>
      </c>
      <c r="P19" s="78">
        <v>26</v>
      </c>
      <c r="Q19" s="78" t="s">
        <v>129</v>
      </c>
      <c r="R19" s="79">
        <v>44927</v>
      </c>
      <c r="S19" s="79">
        <v>46387</v>
      </c>
      <c r="T19" s="79"/>
      <c r="U19" s="79"/>
      <c r="V19" s="79"/>
      <c r="W19" s="79"/>
      <c r="X19" s="84">
        <v>2</v>
      </c>
      <c r="Y19" s="84"/>
      <c r="Z19" s="84">
        <v>3</v>
      </c>
      <c r="AA19" s="84">
        <v>3</v>
      </c>
      <c r="AB19" s="84">
        <v>2</v>
      </c>
      <c r="AC19" s="84">
        <v>8</v>
      </c>
      <c r="AD19" s="84"/>
      <c r="AE19" s="84"/>
      <c r="AF19" s="84">
        <v>4</v>
      </c>
      <c r="AG19" s="84">
        <v>4</v>
      </c>
      <c r="AH19" s="84">
        <v>8</v>
      </c>
      <c r="AI19" s="85"/>
      <c r="AJ19" s="85"/>
      <c r="AK19" s="85"/>
      <c r="AL19" s="85"/>
      <c r="AM19" s="84">
        <v>8</v>
      </c>
      <c r="AN19" s="84">
        <v>26</v>
      </c>
      <c r="AO19" s="85" t="s">
        <v>117</v>
      </c>
      <c r="AP19" s="87" t="s">
        <v>197</v>
      </c>
      <c r="AQ19" s="85"/>
      <c r="AR19" s="85"/>
      <c r="AS19" s="85" t="s">
        <v>117</v>
      </c>
      <c r="AT19" s="87" t="s">
        <v>198</v>
      </c>
      <c r="AU19" s="85"/>
      <c r="AV19" s="85"/>
      <c r="AW19" s="85" t="s">
        <v>117</v>
      </c>
      <c r="AX19" s="87" t="s">
        <v>199</v>
      </c>
      <c r="AY19" s="85"/>
      <c r="AZ19" s="85"/>
      <c r="BA19" s="85">
        <v>2</v>
      </c>
      <c r="BB19" s="87" t="s">
        <v>200</v>
      </c>
      <c r="BC19" s="85"/>
      <c r="BD19" s="85"/>
      <c r="BE19" s="85">
        <f>+SUM(AW19:BC19)</f>
        <v>2</v>
      </c>
      <c r="BF19" s="81" t="s">
        <v>201</v>
      </c>
      <c r="BG19" s="85"/>
      <c r="BH19" s="85"/>
      <c r="BI19" s="85" t="s">
        <v>135</v>
      </c>
      <c r="BJ19" s="81" t="s">
        <v>136</v>
      </c>
      <c r="BK19" s="85"/>
      <c r="BL19" s="85"/>
      <c r="BM19" s="85">
        <v>3</v>
      </c>
      <c r="BN19" s="81" t="s">
        <v>202</v>
      </c>
      <c r="BO19" s="85"/>
      <c r="BP19" s="85"/>
      <c r="BQ19" s="85">
        <v>5</v>
      </c>
      <c r="BR19" s="81" t="s">
        <v>203</v>
      </c>
      <c r="BS19" s="85"/>
      <c r="BT19" s="85"/>
      <c r="BU19" s="85">
        <v>3</v>
      </c>
      <c r="BV19" s="81" t="s">
        <v>204</v>
      </c>
      <c r="BW19" s="85"/>
      <c r="BX19" s="85"/>
      <c r="BY19" s="85">
        <f>+BM19+BQ19+BU19</f>
        <v>11</v>
      </c>
      <c r="BZ19" s="81" t="s">
        <v>205</v>
      </c>
      <c r="CA19" s="85"/>
      <c r="CB19" s="85"/>
      <c r="CC19" s="85" t="s">
        <v>36</v>
      </c>
      <c r="CD19" s="85" t="s">
        <v>271</v>
      </c>
      <c r="CE19" s="85"/>
      <c r="CF19" s="85"/>
      <c r="CG19" s="90">
        <v>0</v>
      </c>
      <c r="CH19" s="94" t="s">
        <v>275</v>
      </c>
      <c r="CI19" s="90"/>
      <c r="CJ19" s="90"/>
      <c r="CK19" s="85"/>
      <c r="CL19" s="85"/>
      <c r="CM19" s="85"/>
      <c r="CN19" s="85"/>
      <c r="CO19" s="85"/>
      <c r="CP19" s="85"/>
      <c r="CQ19" s="85"/>
      <c r="CR19" s="85"/>
      <c r="CS19" s="99">
        <f>+CG19</f>
        <v>0</v>
      </c>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90">
        <f>SUM(BE19+BY19+CS19)</f>
        <v>13</v>
      </c>
      <c r="DR19" s="85"/>
      <c r="DS19" s="93">
        <v>112000000</v>
      </c>
      <c r="DT19" s="92">
        <v>0</v>
      </c>
      <c r="DU19" s="92">
        <v>0</v>
      </c>
      <c r="DV19" s="4">
        <f t="shared" si="0"/>
        <v>0</v>
      </c>
      <c r="DW19" s="4">
        <f t="shared" si="1"/>
        <v>0</v>
      </c>
      <c r="DX19" s="6" t="str">
        <f t="shared" si="2"/>
        <v>No aplica, no hay meta</v>
      </c>
      <c r="DY19" s="6">
        <f t="shared" si="8"/>
        <v>1</v>
      </c>
      <c r="DZ19" s="6">
        <f t="shared" si="9"/>
        <v>1.0000100000000001</v>
      </c>
      <c r="EA19" s="6">
        <f t="shared" si="3"/>
        <v>0</v>
      </c>
      <c r="EB19" s="6" t="str">
        <f t="shared" si="11"/>
        <v>No se reportó avance</v>
      </c>
      <c r="EC19" s="6">
        <f t="shared" si="10"/>
        <v>0.5</v>
      </c>
      <c r="ED19" s="86"/>
      <c r="EF19" s="83" t="str">
        <f t="shared" si="5"/>
        <v>1</v>
      </c>
      <c r="EG19" s="83" t="str">
        <f t="shared" si="6"/>
        <v>Producto</v>
      </c>
    </row>
    <row r="20" spans="1:137" ht="20.100000000000001" customHeight="1" x14ac:dyDescent="0.25">
      <c r="DS20" s="96">
        <f>SUM(DS14:DS19)</f>
        <v>71906000000</v>
      </c>
      <c r="DT20" s="96">
        <f>SUM(DT14:DT19)</f>
        <v>5044426852</v>
      </c>
      <c r="DU20" s="96">
        <f>SUM(DU14:DU19)</f>
        <v>1639894646</v>
      </c>
      <c r="DV20" s="97">
        <f>+DT20/DS20</f>
        <v>7.0153072789475149E-2</v>
      </c>
      <c r="DW20" s="97">
        <f>+DU20/DS20</f>
        <v>2.2806089144160432E-2</v>
      </c>
    </row>
  </sheetData>
  <sheetProtection algorithmName="SHA-512" hashValue="JKY8E5Bn7vFCOYiB77JK7MwpbM/Lgm8rDg0vwVnP+NXH98J5ZnRJAsKtvAM6BpYWZN8320NCEDo3HUYvdzAXqw==" saltValue="gwUiE5yekFJLQPG/LJ7Aew==" spinCount="100000" sheet="1" sort="0" autoFilter="0" pivotTables="0"/>
  <autoFilter ref="A13:ED19" xr:uid="{2E3EC853-B6DB-45F6-BC2A-C1A0456EB3F4}"/>
  <mergeCells count="61">
    <mergeCell ref="DX3:ED4"/>
    <mergeCell ref="J4:AN6"/>
    <mergeCell ref="AO4:DR6"/>
    <mergeCell ref="DS5:DW6"/>
    <mergeCell ref="DX5:ED6"/>
    <mergeCell ref="A10:B10"/>
    <mergeCell ref="C10:I10"/>
    <mergeCell ref="J10:AN10"/>
    <mergeCell ref="AO10:DW10"/>
    <mergeCell ref="DX10:EC11"/>
    <mergeCell ref="I11:I13"/>
    <mergeCell ref="J11:J13"/>
    <mergeCell ref="K11:K13"/>
    <mergeCell ref="L11:L13"/>
    <mergeCell ref="M11:M13"/>
    <mergeCell ref="N11:N13"/>
    <mergeCell ref="P11:P13"/>
    <mergeCell ref="Q11:Q13"/>
    <mergeCell ref="R11:R13"/>
    <mergeCell ref="S11:S13"/>
    <mergeCell ref="T11:AN11"/>
    <mergeCell ref="ED10:ED13"/>
    <mergeCell ref="A11:A13"/>
    <mergeCell ref="B11:B13"/>
    <mergeCell ref="C11:C13"/>
    <mergeCell ref="A1:I6"/>
    <mergeCell ref="J1:AN3"/>
    <mergeCell ref="AO1:DR3"/>
    <mergeCell ref="DS1:DW2"/>
    <mergeCell ref="DX1:ED2"/>
    <mergeCell ref="DS3:DW4"/>
    <mergeCell ref="O11:O13"/>
    <mergeCell ref="D11:D13"/>
    <mergeCell ref="E11:E13"/>
    <mergeCell ref="F11:F13"/>
    <mergeCell ref="G11:G13"/>
    <mergeCell ref="H11:H13"/>
    <mergeCell ref="DS11:DW11"/>
    <mergeCell ref="T12:X12"/>
    <mergeCell ref="Y12:AC12"/>
    <mergeCell ref="AD12:AH12"/>
    <mergeCell ref="AI12:AM12"/>
    <mergeCell ref="AN12:AN13"/>
    <mergeCell ref="AO12:BH12"/>
    <mergeCell ref="BI12:CB12"/>
    <mergeCell ref="CC12:CV12"/>
    <mergeCell ref="CW12:DP12"/>
    <mergeCell ref="AO11:DR11"/>
    <mergeCell ref="DQ12:DQ13"/>
    <mergeCell ref="DR12:DR13"/>
    <mergeCell ref="DS12:DS13"/>
    <mergeCell ref="DT12:DT13"/>
    <mergeCell ref="EA12:EA13"/>
    <mergeCell ref="EB12:EB13"/>
    <mergeCell ref="EC12:EC13"/>
    <mergeCell ref="DU12:DU13"/>
    <mergeCell ref="DV12:DV13"/>
    <mergeCell ref="DW12:DW13"/>
    <mergeCell ref="DY12:DY13"/>
    <mergeCell ref="DZ12:DZ13"/>
    <mergeCell ref="DX12:DX13"/>
  </mergeCells>
  <pageMargins left="0.7" right="0.7" top="0.75" bottom="0.75" header="0.3" footer="0.3"/>
  <pageSetup orientation="portrait" r:id="rId1"/>
  <ignoredErrors>
    <ignoredError sqref="CG16:CG17 CS14:CS19 DQ15 CG18 DQ17:DQ18"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37B-8A15-4FBC-A733-F9EB5A6159BB}">
  <dimension ref="A1:S69"/>
  <sheetViews>
    <sheetView showGridLines="0" topLeftCell="A20" zoomScale="71" zoomScaleNormal="85" workbookViewId="0">
      <selection activeCell="B13" sqref="B13:P13"/>
    </sheetView>
  </sheetViews>
  <sheetFormatPr baseColWidth="10" defaultColWidth="11.42578125" defaultRowHeight="15" x14ac:dyDescent="0.25"/>
  <cols>
    <col min="1" max="1" width="2.85546875" style="8" customWidth="1"/>
    <col min="2" max="2" width="56.42578125" style="49" customWidth="1"/>
    <col min="3" max="11" width="18.85546875" style="8" customWidth="1"/>
    <col min="12" max="12" width="15.42578125" customWidth="1"/>
    <col min="13" max="14" width="19.42578125" customWidth="1"/>
    <col min="15" max="15" width="15.42578125" customWidth="1"/>
    <col min="16" max="17" width="19.42578125" customWidth="1"/>
    <col min="18" max="18" width="8.28515625" customWidth="1"/>
    <col min="19" max="19" width="6.140625" customWidth="1"/>
    <col min="21" max="21" width="20.42578125" customWidth="1"/>
    <col min="22" max="22" width="10" customWidth="1"/>
  </cols>
  <sheetData>
    <row r="1" spans="1:18" ht="15" customHeight="1" x14ac:dyDescent="0.25">
      <c r="A1" s="157"/>
      <c r="B1" s="157"/>
      <c r="C1" s="157"/>
      <c r="D1" s="128" t="s">
        <v>74</v>
      </c>
      <c r="E1" s="128"/>
      <c r="F1" s="128"/>
      <c r="G1" s="128"/>
      <c r="H1" s="158" t="s">
        <v>75</v>
      </c>
      <c r="I1" s="159"/>
      <c r="J1" s="159"/>
      <c r="K1" s="159"/>
      <c r="L1" s="160"/>
      <c r="M1" s="164" t="s">
        <v>76</v>
      </c>
      <c r="N1" s="165"/>
      <c r="O1" s="166"/>
      <c r="P1" s="130">
        <v>2</v>
      </c>
      <c r="Q1" s="130"/>
      <c r="R1" s="7"/>
    </row>
    <row r="2" spans="1:18" ht="15" customHeight="1" x14ac:dyDescent="0.25">
      <c r="A2" s="157"/>
      <c r="B2" s="157"/>
      <c r="C2" s="157"/>
      <c r="D2" s="128"/>
      <c r="E2" s="128"/>
      <c r="F2" s="128"/>
      <c r="G2" s="128"/>
      <c r="H2" s="158"/>
      <c r="I2" s="159"/>
      <c r="J2" s="159"/>
      <c r="K2" s="159"/>
      <c r="L2" s="160"/>
      <c r="M2" s="167"/>
      <c r="N2" s="168"/>
      <c r="O2" s="169"/>
      <c r="P2" s="130"/>
      <c r="Q2" s="130"/>
      <c r="R2" s="7"/>
    </row>
    <row r="3" spans="1:18" ht="15" customHeight="1" x14ac:dyDescent="0.25">
      <c r="A3" s="157"/>
      <c r="B3" s="157"/>
      <c r="C3" s="157"/>
      <c r="D3" s="128"/>
      <c r="E3" s="128"/>
      <c r="F3" s="128"/>
      <c r="G3" s="128"/>
      <c r="H3" s="161"/>
      <c r="I3" s="162"/>
      <c r="J3" s="162"/>
      <c r="K3" s="162"/>
      <c r="L3" s="163"/>
      <c r="M3" s="175" t="s">
        <v>77</v>
      </c>
      <c r="N3" s="176"/>
      <c r="O3" s="177"/>
      <c r="P3" s="130" t="s">
        <v>209</v>
      </c>
      <c r="Q3" s="130"/>
      <c r="R3" s="7"/>
    </row>
    <row r="4" spans="1:18" ht="15" customHeight="1" x14ac:dyDescent="0.25">
      <c r="A4" s="157"/>
      <c r="B4" s="157"/>
      <c r="C4" s="157"/>
      <c r="D4" s="128" t="s">
        <v>79</v>
      </c>
      <c r="E4" s="128"/>
      <c r="F4" s="128"/>
      <c r="G4" s="128"/>
      <c r="H4" s="178" t="s">
        <v>80</v>
      </c>
      <c r="I4" s="179"/>
      <c r="J4" s="179"/>
      <c r="K4" s="179"/>
      <c r="L4" s="180"/>
      <c r="M4" s="167"/>
      <c r="N4" s="168"/>
      <c r="O4" s="169"/>
      <c r="P4" s="130"/>
      <c r="Q4" s="130"/>
      <c r="R4" s="7"/>
    </row>
    <row r="5" spans="1:18" ht="15" customHeight="1" x14ac:dyDescent="0.25">
      <c r="A5" s="157"/>
      <c r="B5" s="157"/>
      <c r="C5" s="157"/>
      <c r="D5" s="128"/>
      <c r="E5" s="128"/>
      <c r="F5" s="128"/>
      <c r="G5" s="128"/>
      <c r="H5" s="158"/>
      <c r="I5" s="159"/>
      <c r="J5" s="159"/>
      <c r="K5" s="159"/>
      <c r="L5" s="160"/>
      <c r="M5" s="175" t="s">
        <v>81</v>
      </c>
      <c r="N5" s="176"/>
      <c r="O5" s="177"/>
      <c r="P5" s="152">
        <v>45768</v>
      </c>
      <c r="Q5" s="130"/>
      <c r="R5" s="7"/>
    </row>
    <row r="6" spans="1:18" ht="15" customHeight="1" x14ac:dyDescent="0.25">
      <c r="A6" s="157"/>
      <c r="B6" s="157"/>
      <c r="C6" s="157"/>
      <c r="D6" s="128"/>
      <c r="E6" s="128"/>
      <c r="F6" s="128"/>
      <c r="G6" s="128"/>
      <c r="H6" s="161"/>
      <c r="I6" s="162"/>
      <c r="J6" s="162"/>
      <c r="K6" s="162"/>
      <c r="L6" s="163"/>
      <c r="M6" s="167"/>
      <c r="N6" s="168"/>
      <c r="O6" s="169"/>
      <c r="P6" s="130"/>
      <c r="Q6" s="130"/>
      <c r="R6" s="7"/>
    </row>
    <row r="7" spans="1:18" ht="15" customHeight="1" x14ac:dyDescent="0.25">
      <c r="B7" s="9"/>
      <c r="C7" s="10"/>
    </row>
    <row r="9" spans="1:18" ht="69" customHeight="1" x14ac:dyDescent="0.25">
      <c r="B9" s="170" t="s">
        <v>210</v>
      </c>
      <c r="C9" s="171"/>
      <c r="D9" s="171"/>
      <c r="E9" s="171"/>
      <c r="F9" s="171"/>
      <c r="G9" s="171"/>
      <c r="H9" s="171"/>
      <c r="I9" s="171"/>
      <c r="J9" s="171"/>
      <c r="K9" s="171"/>
      <c r="L9" s="171"/>
      <c r="M9" s="171"/>
      <c r="N9" s="171"/>
      <c r="O9" s="171"/>
      <c r="P9" s="171"/>
      <c r="Q9" s="171"/>
      <c r="R9" s="11"/>
    </row>
    <row r="11" spans="1:18" x14ac:dyDescent="0.25">
      <c r="B11" s="172" t="s">
        <v>211</v>
      </c>
      <c r="C11" s="173"/>
      <c r="D11" s="173"/>
      <c r="E11" s="173"/>
      <c r="F11" s="173"/>
      <c r="G11" s="173"/>
      <c r="H11" s="173"/>
      <c r="I11" s="173"/>
      <c r="J11" s="173"/>
      <c r="K11" s="173"/>
      <c r="L11" s="173"/>
      <c r="M11" s="173"/>
      <c r="N11" s="173"/>
      <c r="O11" s="173"/>
      <c r="P11" s="173"/>
    </row>
    <row r="12" spans="1:18" ht="17.100000000000001" customHeight="1" x14ac:dyDescent="0.25">
      <c r="B12" s="172" t="s">
        <v>212</v>
      </c>
      <c r="C12" s="174"/>
      <c r="D12" s="174"/>
      <c r="E12" s="174"/>
      <c r="F12" s="174"/>
      <c r="G12" s="174"/>
      <c r="H12" s="174"/>
      <c r="I12" s="174"/>
      <c r="J12" s="174"/>
      <c r="K12" s="174"/>
      <c r="L12" s="174"/>
      <c r="M12" s="174"/>
      <c r="N12" s="174"/>
      <c r="O12" s="174"/>
      <c r="P12" s="174"/>
    </row>
    <row r="13" spans="1:18" ht="20.25" customHeight="1" x14ac:dyDescent="0.25">
      <c r="B13" s="172" t="s">
        <v>213</v>
      </c>
      <c r="C13" s="173"/>
      <c r="D13" s="173"/>
      <c r="E13" s="173"/>
      <c r="F13" s="173"/>
      <c r="G13" s="173"/>
      <c r="H13" s="173"/>
      <c r="I13" s="173"/>
      <c r="J13" s="173"/>
      <c r="K13" s="173"/>
      <c r="L13" s="173"/>
      <c r="M13" s="173"/>
      <c r="N13" s="173"/>
      <c r="O13" s="173"/>
      <c r="P13" s="173"/>
    </row>
    <row r="14" spans="1:18" ht="14.45" customHeight="1" thickBot="1" x14ac:dyDescent="0.3">
      <c r="B14" s="12"/>
    </row>
    <row r="15" spans="1:18" ht="34.5" customHeight="1" thickBot="1" x14ac:dyDescent="0.3">
      <c r="B15" s="153" t="s">
        <v>214</v>
      </c>
      <c r="C15" s="154"/>
      <c r="D15" s="154"/>
      <c r="E15" s="154"/>
      <c r="M15" s="13"/>
      <c r="N15" s="155" t="s">
        <v>215</v>
      </c>
      <c r="O15" s="156"/>
      <c r="P15" s="14" t="s">
        <v>216</v>
      </c>
      <c r="Q15" s="13"/>
      <c r="R15" s="15"/>
    </row>
    <row r="16" spans="1:18" ht="33.75" customHeight="1" thickBot="1" x14ac:dyDescent="0.3">
      <c r="B16" s="181" t="s">
        <v>217</v>
      </c>
      <c r="C16" s="182"/>
      <c r="D16" s="182"/>
      <c r="E16" s="183"/>
      <c r="M16" s="8"/>
      <c r="N16" s="16" t="s">
        <v>218</v>
      </c>
      <c r="O16" s="60" t="s">
        <v>219</v>
      </c>
      <c r="P16" s="61" t="s">
        <v>220</v>
      </c>
      <c r="Q16" s="13"/>
      <c r="R16" s="15"/>
    </row>
    <row r="17" spans="1:19" ht="33.75" customHeight="1" thickBot="1" x14ac:dyDescent="0.3">
      <c r="B17" s="181" t="s">
        <v>221</v>
      </c>
      <c r="C17" s="182"/>
      <c r="D17" s="182"/>
      <c r="E17" s="183"/>
      <c r="M17" s="8"/>
      <c r="N17" s="17" t="s">
        <v>222</v>
      </c>
      <c r="O17" s="60" t="s">
        <v>223</v>
      </c>
      <c r="P17" s="61" t="s">
        <v>224</v>
      </c>
      <c r="Q17" s="13"/>
      <c r="R17" s="15"/>
    </row>
    <row r="18" spans="1:19" ht="33.75" customHeight="1" thickBot="1" x14ac:dyDescent="0.3">
      <c r="B18" s="181" t="s">
        <v>225</v>
      </c>
      <c r="C18" s="182"/>
      <c r="D18" s="182"/>
      <c r="E18" s="183"/>
      <c r="M18" s="8"/>
      <c r="N18" s="18" t="s">
        <v>226</v>
      </c>
      <c r="O18" s="60" t="s">
        <v>227</v>
      </c>
      <c r="P18" s="61" t="s">
        <v>228</v>
      </c>
      <c r="Q18" s="13"/>
      <c r="R18" s="15"/>
    </row>
    <row r="19" spans="1:19" ht="33.75" customHeight="1" thickBot="1" x14ac:dyDescent="0.3">
      <c r="B19" s="184"/>
      <c r="C19" s="185"/>
      <c r="D19" s="185"/>
      <c r="E19" s="186"/>
      <c r="M19" s="8"/>
      <c r="N19" s="19" t="s">
        <v>229</v>
      </c>
      <c r="O19" s="60" t="s">
        <v>230</v>
      </c>
      <c r="P19" s="61" t="s">
        <v>231</v>
      </c>
      <c r="Q19" s="13"/>
      <c r="R19" s="15"/>
    </row>
    <row r="20" spans="1:19" ht="44.25" customHeight="1" thickBot="1" x14ac:dyDescent="0.3">
      <c r="B20" s="12"/>
      <c r="M20" s="8"/>
      <c r="N20" s="20" t="s">
        <v>232</v>
      </c>
      <c r="O20" s="62" t="s">
        <v>263</v>
      </c>
      <c r="P20" s="63" t="s">
        <v>233</v>
      </c>
      <c r="Q20" s="21"/>
      <c r="R20" s="22"/>
    </row>
    <row r="21" spans="1:19" ht="15" customHeight="1" x14ac:dyDescent="0.25">
      <c r="B21" s="12"/>
      <c r="M21" s="8"/>
      <c r="N21" s="23"/>
      <c r="O21" s="23"/>
      <c r="P21" s="23"/>
      <c r="Q21" s="22"/>
      <c r="R21" s="22"/>
    </row>
    <row r="22" spans="1:19" ht="15" customHeight="1" x14ac:dyDescent="0.25">
      <c r="B22" s="12"/>
      <c r="M22" s="8"/>
      <c r="N22" s="23"/>
      <c r="O22" s="23"/>
      <c r="P22" s="23"/>
      <c r="Q22" s="22"/>
      <c r="R22" s="22"/>
    </row>
    <row r="23" spans="1:19" ht="20.100000000000001" customHeight="1" thickBot="1" x14ac:dyDescent="0.3">
      <c r="B23" s="12"/>
      <c r="C23" s="187" t="s">
        <v>234</v>
      </c>
      <c r="D23" s="188"/>
      <c r="E23" s="188"/>
      <c r="F23" s="188"/>
      <c r="G23" s="188"/>
      <c r="H23" s="188"/>
      <c r="I23" s="188"/>
      <c r="J23" s="188"/>
      <c r="K23" s="188"/>
      <c r="L23" s="188"/>
      <c r="M23" s="188"/>
      <c r="N23" s="188"/>
      <c r="O23" s="24"/>
      <c r="P23" s="24"/>
      <c r="Q23" s="24"/>
      <c r="R23" s="25"/>
    </row>
    <row r="24" spans="1:19" ht="15" customHeight="1" x14ac:dyDescent="0.25">
      <c r="B24" s="26"/>
      <c r="C24" s="192" t="s">
        <v>235</v>
      </c>
      <c r="D24" s="189"/>
      <c r="E24" s="190"/>
      <c r="F24" s="189" t="s">
        <v>236</v>
      </c>
      <c r="G24" s="189"/>
      <c r="H24" s="190"/>
      <c r="I24" s="189" t="s">
        <v>237</v>
      </c>
      <c r="J24" s="189"/>
      <c r="K24" s="190"/>
      <c r="L24" s="189" t="s">
        <v>238</v>
      </c>
      <c r="M24" s="189"/>
      <c r="N24" s="190"/>
      <c r="O24" s="189" t="s">
        <v>239</v>
      </c>
      <c r="P24" s="189"/>
      <c r="Q24" s="190"/>
      <c r="R24" s="27"/>
    </row>
    <row r="25" spans="1:19" ht="73.5" customHeight="1" x14ac:dyDescent="0.25">
      <c r="B25" s="28" t="s">
        <v>240</v>
      </c>
      <c r="C25" s="29" t="s">
        <v>241</v>
      </c>
      <c r="D25" s="30" t="s">
        <v>242</v>
      </c>
      <c r="E25" s="31" t="s">
        <v>243</v>
      </c>
      <c r="F25" s="32" t="s">
        <v>244</v>
      </c>
      <c r="G25" s="30" t="s">
        <v>245</v>
      </c>
      <c r="H25" s="31" t="s">
        <v>246</v>
      </c>
      <c r="I25" s="32" t="s">
        <v>241</v>
      </c>
      <c r="J25" s="30" t="s">
        <v>242</v>
      </c>
      <c r="K25" s="31" t="s">
        <v>243</v>
      </c>
      <c r="L25" s="32" t="s">
        <v>241</v>
      </c>
      <c r="M25" s="30" t="s">
        <v>242</v>
      </c>
      <c r="N25" s="31" t="s">
        <v>243</v>
      </c>
      <c r="O25" s="32" t="s">
        <v>241</v>
      </c>
      <c r="P25" s="30" t="s">
        <v>242</v>
      </c>
      <c r="Q25" s="31" t="s">
        <v>243</v>
      </c>
      <c r="R25" s="27"/>
    </row>
    <row r="26" spans="1:19" s="39" customFormat="1" ht="50.1" customHeight="1" x14ac:dyDescent="0.25">
      <c r="A26" s="33">
        <v>1</v>
      </c>
      <c r="B26" s="34" t="s">
        <v>247</v>
      </c>
      <c r="C26" s="35">
        <f>+IFERROR(IF(AVERAGEIF(Consolidado!$EF:$EF,$A26,Consolidado!$DX:$DX)&gt;1,1.00001,AVERAGEIF(Consolidado!$EF:$EF,$A26,Consolidado!$DX:$DX)),0)</f>
        <v>1</v>
      </c>
      <c r="D26" s="36">
        <f>+IFERROR(IF(AVERAGEIFS(Consolidado!$DX:$DX,Consolidado!$EF:$EF,$A26,Consolidado!$EG:$EG,"Producto")&gt;1,1.00001,AVERAGEIFS(Consolidado!$DX:$DX,Consolidado!$EF:$EF,$A26,Consolidado!$EG:$EG,"Producto")),"No aplica")</f>
        <v>1</v>
      </c>
      <c r="E26" s="37">
        <f>+IFERROR(IF(AVERAGEIFS(Consolidado!$DX:$DX,Consolidado!$EF:$EF,$A26,Consolidado!$EG:$EG,"Gestión")&gt;1,1.00001,AVERAGEIFS(Consolidado!$DX:$DX,Consolidado!$EF:$EF,$A26,Consolidado!$EG:$EG,"Gestión")),"No aplica")</f>
        <v>1</v>
      </c>
      <c r="F26" s="35"/>
      <c r="G26" s="36"/>
      <c r="H26" s="37"/>
      <c r="I26" s="35"/>
      <c r="J26" s="36"/>
      <c r="K26" s="37"/>
      <c r="L26" s="35"/>
      <c r="M26" s="36"/>
      <c r="N26" s="37"/>
      <c r="O26" s="35">
        <f>+IFERROR(IF(AVERAGEIF(Consolidado!$EF:$EF,$A26,Consolidado!$EA:$EA)&gt;1,1.00001,AVERAGEIF(Consolidado!$EF:$EF,$A26,Consolidado!$EA:$EA)),0)</f>
        <v>0.5</v>
      </c>
      <c r="P26" s="36">
        <f>+IFERROR(IF(AVERAGEIFS(Consolidado!$EA:$EA,Consolidado!$EF:$EF,$A26,Consolidado!$EG:$EG,"Producto")&gt;1,1.00001,AVERAGEIFS(Consolidado!$EA:$EA,Consolidado!$EF:$EF,$A26,Consolidado!$EG:$EG,"Producto")),"No aplica")</f>
        <v>0.25</v>
      </c>
      <c r="Q26" s="37">
        <f>+IFERROR(IF(AVERAGEIFS(Consolidado!$EA:$EA,Consolidado!$EF:$EF,$A26,Consolidado!$EG:$EG,"Gestión")&gt;1,1.00001,AVERAGEIFS(Consolidado!$EA:$EA,Consolidado!$EF:$EF,$A26,Consolidado!$EG:$EG,"Gestión")),"No aplica")</f>
        <v>1</v>
      </c>
      <c r="R26" s="38"/>
    </row>
    <row r="27" spans="1:19" s="39" customFormat="1" ht="50.1" customHeight="1" x14ac:dyDescent="0.25">
      <c r="A27" s="33">
        <v>2</v>
      </c>
      <c r="B27" s="34" t="s">
        <v>248</v>
      </c>
      <c r="C27" s="35">
        <f>+IFERROR(IF(AVERAGEIF(Consolidado!$EF:$EF,$A27,Consolidado!$DX:$DX)&gt;1,1.00001,AVERAGEIF(Consolidado!$EF:$EF,$A27,Consolidado!$DX:$DX)),0)</f>
        <v>0</v>
      </c>
      <c r="D27" s="36" t="str">
        <f>+IFERROR(IF(AVERAGEIFS(Consolidado!$DX:$DX,Consolidado!$EF:$EF,$A27,Consolidado!$EG:$EG,"Producto")&gt;1,1.00001,AVERAGEIFS(Consolidado!$DX:$DX,Consolidado!$EF:$EF,$A27,Consolidado!$EG:$EG,"Producto")),"No aplica")</f>
        <v>No aplica</v>
      </c>
      <c r="E27" s="37" t="str">
        <f>+IFERROR(IF(AVERAGEIFS(Consolidado!$DX:$DX,Consolidado!$EF:$EF,$A27,Consolidado!$EG:$EG,"Gestión")&gt;1,1.00001,AVERAGEIFS(Consolidado!$DX:$DX,Consolidado!$EF:$EF,$A27,Consolidado!$EG:$EG,"Gestión")),"No aplica")</f>
        <v>No aplica</v>
      </c>
      <c r="F27" s="35"/>
      <c r="G27" s="36"/>
      <c r="H27" s="37"/>
      <c r="I27" s="35"/>
      <c r="J27" s="36"/>
      <c r="K27" s="37"/>
      <c r="L27" s="35"/>
      <c r="M27" s="36"/>
      <c r="N27" s="37"/>
      <c r="O27" s="35">
        <f>+IFERROR(IF(AVERAGEIF(Consolidado!$EF:$EF,$A27,Consolidado!$EA:$EA)&gt;1,1.00001,AVERAGEIF(Consolidado!$EF:$EF,$A27,Consolidado!$EA:$EA)),0)</f>
        <v>0</v>
      </c>
      <c r="P27" s="36" t="str">
        <f>+IFERROR(IF(AVERAGEIFS(Consolidado!$EA:$EA,Consolidado!$EF:$EF,$A27,Consolidado!$EG:$EG,"Producto")&gt;1,1.00001,AVERAGEIFS(Consolidado!$EA:$EA,Consolidado!$EF:$EF,$A27,Consolidado!$EG:$EG,"Producto")),"No aplica")</f>
        <v>No aplica</v>
      </c>
      <c r="Q27" s="37" t="str">
        <f>+IFERROR(IF(AVERAGEIFS(Consolidado!$EA:$EA,Consolidado!$EF:$EF,$A27,Consolidado!$EG:$EG,"Gestión")&gt;1,1.00001,AVERAGEIFS(Consolidado!$EA:$EA,Consolidado!$EF:$EF,$A27,Consolidado!$EG:$EG,"Gestión")),"No aplica")</f>
        <v>No aplica</v>
      </c>
      <c r="R27" s="38"/>
      <c r="S27" s="40"/>
    </row>
    <row r="28" spans="1:19" s="39" customFormat="1" ht="50.1" customHeight="1" x14ac:dyDescent="0.25">
      <c r="A28" s="33">
        <v>3</v>
      </c>
      <c r="B28" s="34" t="s">
        <v>249</v>
      </c>
      <c r="C28" s="35">
        <f>+IFERROR(IF(AVERAGEIF(Consolidado!$EF:$EF,$A28,Consolidado!$DX:$DX)&gt;1,1.00001,AVERAGEIF(Consolidado!$EF:$EF,$A28,Consolidado!$DX:$DX)),0)</f>
        <v>0</v>
      </c>
      <c r="D28" s="36" t="str">
        <f>+IFERROR(IF(AVERAGEIFS(Consolidado!$DX:$DX,Consolidado!$EF:$EF,$A28,Consolidado!$EG:$EG,"Producto")&gt;1,1.00001,AVERAGEIFS(Consolidado!$DX:$DX,Consolidado!$EF:$EF,$A28,Consolidado!$EG:$EG,"Producto")),"No aplica")</f>
        <v>No aplica</v>
      </c>
      <c r="E28" s="37" t="str">
        <f>+IFERROR(IF(AVERAGEIFS(Consolidado!$DX:$DX,Consolidado!$EF:$EF,$A28,Consolidado!$EG:$EG,"Gestión")&gt;1,1.00001,AVERAGEIFS(Consolidado!$DX:$DX,Consolidado!$EF:$EF,$A28,Consolidado!$EG:$EG,"Gestión")),"No aplica")</f>
        <v>No aplica</v>
      </c>
      <c r="F28" s="35"/>
      <c r="G28" s="36"/>
      <c r="H28" s="37"/>
      <c r="I28" s="35"/>
      <c r="J28" s="36"/>
      <c r="K28" s="37"/>
      <c r="L28" s="35"/>
      <c r="M28" s="36"/>
      <c r="N28" s="37"/>
      <c r="O28" s="35">
        <f>+IFERROR(IF(AVERAGEIF(Consolidado!$EF:$EF,$A28,Consolidado!$EA:$EA)&gt;1,1.00001,AVERAGEIF(Consolidado!$EF:$EF,$A28,Consolidado!$EA:$EA)),0)</f>
        <v>0</v>
      </c>
      <c r="P28" s="36" t="str">
        <f>+IFERROR(IF(AVERAGEIFS(Consolidado!$EA:$EA,Consolidado!$EF:$EF,$A28,Consolidado!$EG:$EG,"Producto")&gt;1,1.00001,AVERAGEIFS(Consolidado!$EA:$EA,Consolidado!$EF:$EF,$A28,Consolidado!$EG:$EG,"Producto")),"No aplica")</f>
        <v>No aplica</v>
      </c>
      <c r="Q28" s="37" t="str">
        <f>+IFERROR(IF(AVERAGEIFS(Consolidado!$EA:$EA,Consolidado!$EF:$EF,$A28,Consolidado!$EG:$EG,"Gestión")&gt;1,1.00001,AVERAGEIFS(Consolidado!$EA:$EA,Consolidado!$EF:$EF,$A28,Consolidado!$EG:$EG,"Gestión")),"No aplica")</f>
        <v>No aplica</v>
      </c>
      <c r="R28" s="38"/>
      <c r="S28" s="40"/>
    </row>
    <row r="29" spans="1:19" s="39" customFormat="1" ht="50.1" customHeight="1" x14ac:dyDescent="0.25">
      <c r="A29" s="33">
        <v>4</v>
      </c>
      <c r="B29" s="34" t="s">
        <v>250</v>
      </c>
      <c r="C29" s="35">
        <f>+IFERROR(IF(AVERAGEIF(Consolidado!$EF:$EF,$A29,Consolidado!$DX:$DX)&gt;1,1.00001,AVERAGEIF(Consolidado!$EF:$EF,$A29,Consolidado!$DX:$DX)),0)</f>
        <v>0</v>
      </c>
      <c r="D29" s="36" t="str">
        <f>+IFERROR(IF(AVERAGEIFS(Consolidado!$DX:$DX,Consolidado!$EF:$EF,$A29,Consolidado!$EG:$EG,"Producto")&gt;1,1.00001,AVERAGEIFS(Consolidado!$DX:$DX,Consolidado!$EF:$EF,$A29,Consolidado!$EG:$EG,"Producto")),"No aplica")</f>
        <v>No aplica</v>
      </c>
      <c r="E29" s="37" t="str">
        <f>+IFERROR(IF(AVERAGEIFS(Consolidado!$DX:$DX,Consolidado!$EF:$EF,$A29,Consolidado!$EG:$EG,"Gestión")&gt;1,1.00001,AVERAGEIFS(Consolidado!$DX:$DX,Consolidado!$EF:$EF,$A29,Consolidado!$EG:$EG,"Gestión")),"No aplica")</f>
        <v>No aplica</v>
      </c>
      <c r="F29" s="35"/>
      <c r="G29" s="36"/>
      <c r="H29" s="37"/>
      <c r="I29" s="35"/>
      <c r="J29" s="36"/>
      <c r="K29" s="37"/>
      <c r="L29" s="35"/>
      <c r="M29" s="36"/>
      <c r="N29" s="37"/>
      <c r="O29" s="35">
        <f>+IFERROR(IF(AVERAGEIF(Consolidado!$EF:$EF,$A29,Consolidado!$EA:$EA)&gt;1,1.00001,AVERAGEIF(Consolidado!$EF:$EF,$A29,Consolidado!$EA:$EA)),0)</f>
        <v>0</v>
      </c>
      <c r="P29" s="36" t="str">
        <f>+IFERROR(IF(AVERAGEIFS(Consolidado!$EA:$EA,Consolidado!$EF:$EF,$A29,Consolidado!$EG:$EG,"Producto")&gt;1,1.00001,AVERAGEIFS(Consolidado!$EA:$EA,Consolidado!$EF:$EF,$A29,Consolidado!$EG:$EG,"Producto")),"No aplica")</f>
        <v>No aplica</v>
      </c>
      <c r="Q29" s="37" t="str">
        <f>+IFERROR(IF(AVERAGEIFS(Consolidado!$EA:$EA,Consolidado!$EF:$EF,$A29,Consolidado!$EG:$EG,"Gestión")&gt;1,1.00001,AVERAGEIFS(Consolidado!$EA:$EA,Consolidado!$EF:$EF,$A29,Consolidado!$EG:$EG,"Gestión")),"No aplica")</f>
        <v>No aplica</v>
      </c>
      <c r="R29" s="38"/>
      <c r="S29" s="40"/>
    </row>
    <row r="30" spans="1:19" s="39" customFormat="1" ht="50.1" customHeight="1" x14ac:dyDescent="0.25">
      <c r="A30" s="33">
        <v>5</v>
      </c>
      <c r="B30" s="34" t="s">
        <v>251</v>
      </c>
      <c r="C30" s="35">
        <f>+IFERROR(IF(AVERAGEIF(Consolidado!$EF:$EF,$A30,Consolidado!$DX:$DX)&gt;1,1.00001,AVERAGEIF(Consolidado!$EF:$EF,$A30,Consolidado!$DX:$DX)),0)</f>
        <v>0</v>
      </c>
      <c r="D30" s="36" t="str">
        <f>+IFERROR(IF(AVERAGEIFS(Consolidado!$DX:$DX,Consolidado!$EF:$EF,$A30,Consolidado!$EG:$EG,"Producto")&gt;1,1.00001,AVERAGEIFS(Consolidado!$DX:$DX,Consolidado!$EF:$EF,$A30,Consolidado!$EG:$EG,"Producto")),"No aplica")</f>
        <v>No aplica</v>
      </c>
      <c r="E30" s="37" t="str">
        <f>+IFERROR(IF(AVERAGEIFS(Consolidado!$DX:$DX,Consolidado!$EF:$EF,$A30,Consolidado!$EG:$EG,"Gestión")&gt;1,1.00001,AVERAGEIFS(Consolidado!$DX:$DX,Consolidado!$EF:$EF,$A30,Consolidado!$EG:$EG,"Gestión")),"No aplica")</f>
        <v>No aplica</v>
      </c>
      <c r="F30" s="35"/>
      <c r="G30" s="36"/>
      <c r="H30" s="37"/>
      <c r="I30" s="35"/>
      <c r="J30" s="36"/>
      <c r="K30" s="37"/>
      <c r="L30" s="35"/>
      <c r="M30" s="36"/>
      <c r="N30" s="37"/>
      <c r="O30" s="35">
        <f>+IFERROR(IF(AVERAGEIF(Consolidado!$EF:$EF,$A30,Consolidado!$EA:$EA)&gt;1,1.00001,AVERAGEIF(Consolidado!$EF:$EF,$A30,Consolidado!$EA:$EA)),0)</f>
        <v>0</v>
      </c>
      <c r="P30" s="36" t="str">
        <f>+IFERROR(IF(AVERAGEIFS(Consolidado!$EA:$EA,Consolidado!$EF:$EF,$A30,Consolidado!$EG:$EG,"Producto")&gt;1,1.00001,AVERAGEIFS(Consolidado!$EA:$EA,Consolidado!$EF:$EF,$A30,Consolidado!$EG:$EG,"Producto")),"No aplica")</f>
        <v>No aplica</v>
      </c>
      <c r="Q30" s="37" t="str">
        <f>+IFERROR(IF(AVERAGEIFS(Consolidado!$EA:$EA,Consolidado!$EF:$EF,$A30,Consolidado!$EG:$EG,"Gestión")&gt;1,1.00001,AVERAGEIFS(Consolidado!$EA:$EA,Consolidado!$EF:$EF,$A30,Consolidado!$EG:$EG,"Gestión")),"No aplica")</f>
        <v>No aplica</v>
      </c>
      <c r="R30" s="38"/>
      <c r="S30" s="40"/>
    </row>
    <row r="31" spans="1:19" s="39" customFormat="1" ht="50.1" customHeight="1" x14ac:dyDescent="0.25">
      <c r="A31" s="33">
        <v>6</v>
      </c>
      <c r="B31" s="34" t="s">
        <v>252</v>
      </c>
      <c r="C31" s="35">
        <f>+IFERROR(IF(AVERAGEIF(Consolidado!$EF:$EF,$A31,Consolidado!$DX:$DX)&gt;1,1.00001,AVERAGEIF(Consolidado!$EF:$EF,$A31,Consolidado!$DX:$DX)),0)</f>
        <v>0</v>
      </c>
      <c r="D31" s="36" t="str">
        <f>+IFERROR(IF(AVERAGEIFS(Consolidado!$DX:$DX,Consolidado!$EF:$EF,$A31,Consolidado!$EG:$EG,"Producto")&gt;1,1.00001,AVERAGEIFS(Consolidado!$DX:$DX,Consolidado!$EF:$EF,$A31,Consolidado!$EG:$EG,"Producto")),"No aplica")</f>
        <v>No aplica</v>
      </c>
      <c r="E31" s="37" t="str">
        <f>+IFERROR(IF(AVERAGEIFS(Consolidado!$DX:$DX,Consolidado!$EF:$EF,$A31,Consolidado!$EG:$EG,"Gestión")&gt;1,1.00001,AVERAGEIFS(Consolidado!$DX:$DX,Consolidado!$EF:$EF,$A31,Consolidado!$EG:$EG,"Gestión")),"No aplica")</f>
        <v>No aplica</v>
      </c>
      <c r="F31" s="35"/>
      <c r="G31" s="36"/>
      <c r="H31" s="37"/>
      <c r="I31" s="35"/>
      <c r="J31" s="36"/>
      <c r="K31" s="37"/>
      <c r="L31" s="35"/>
      <c r="M31" s="36"/>
      <c r="N31" s="37"/>
      <c r="O31" s="35">
        <f>+IFERROR(IF(AVERAGEIF(Consolidado!$EF:$EF,$A31,Consolidado!$EA:$EA)&gt;1,1.00001,AVERAGEIF(Consolidado!$EF:$EF,$A31,Consolidado!$EA:$EA)),0)</f>
        <v>0</v>
      </c>
      <c r="P31" s="36" t="str">
        <f>+IFERROR(IF(AVERAGEIFS(Consolidado!$EA:$EA,Consolidado!$EF:$EF,$A31,Consolidado!$EG:$EG,"Producto")&gt;1,1.00001,AVERAGEIFS(Consolidado!$EA:$EA,Consolidado!$EF:$EF,$A31,Consolidado!$EG:$EG,"Producto")),"No aplica")</f>
        <v>No aplica</v>
      </c>
      <c r="Q31" s="37" t="str">
        <f>+IFERROR(IF(AVERAGEIFS(Consolidado!$EA:$EA,Consolidado!$EF:$EF,$A31,Consolidado!$EG:$EG,"Gestión")&gt;1,1.00001,AVERAGEIFS(Consolidado!$EA:$EA,Consolidado!$EF:$EF,$A31,Consolidado!$EG:$EG,"Gestión")),"No aplica")</f>
        <v>No aplica</v>
      </c>
      <c r="R31" s="38"/>
      <c r="S31" s="40"/>
    </row>
    <row r="32" spans="1:19" ht="16.5" thickBot="1" x14ac:dyDescent="0.3">
      <c r="B32" s="41" t="s">
        <v>253</v>
      </c>
      <c r="C32" s="42">
        <f>+AVERAGE(C26:C31)</f>
        <v>0.16666666666666666</v>
      </c>
      <c r="D32" s="42">
        <f t="shared" ref="D32:O32" si="0">+IFERROR(AVERAGE(D26:D31),0%)</f>
        <v>1</v>
      </c>
      <c r="E32" s="42">
        <f t="shared" si="0"/>
        <v>1</v>
      </c>
      <c r="F32" s="42"/>
      <c r="G32" s="42"/>
      <c r="H32" s="42"/>
      <c r="I32" s="42"/>
      <c r="J32" s="42"/>
      <c r="K32" s="42"/>
      <c r="L32" s="42"/>
      <c r="M32" s="42"/>
      <c r="N32" s="42"/>
      <c r="O32" s="42">
        <f t="shared" si="0"/>
        <v>8.3333333333333329E-2</v>
      </c>
      <c r="P32" s="42">
        <f>+IFERROR(AVERAGE(P26:P31),0%)</f>
        <v>0.25</v>
      </c>
      <c r="Q32" s="42">
        <f>+IFERROR(AVERAGE(Q26:Q31),0%)</f>
        <v>1</v>
      </c>
      <c r="R32" s="43"/>
    </row>
    <row r="33" spans="1:18" x14ac:dyDescent="0.25">
      <c r="A33" s="26"/>
      <c r="B33" s="26"/>
      <c r="C33"/>
      <c r="D33"/>
      <c r="E33"/>
      <c r="F33"/>
      <c r="G33"/>
      <c r="H33"/>
      <c r="I33"/>
      <c r="J33"/>
      <c r="K33"/>
    </row>
    <row r="34" spans="1:18" x14ac:dyDescent="0.25">
      <c r="A34" s="26"/>
      <c r="B34" s="26"/>
      <c r="C34"/>
      <c r="D34"/>
      <c r="E34"/>
      <c r="F34"/>
      <c r="G34"/>
      <c r="H34"/>
      <c r="I34"/>
      <c r="J34"/>
      <c r="K34"/>
    </row>
    <row r="35" spans="1:18" ht="16.5" thickBot="1" x14ac:dyDescent="0.3">
      <c r="A35" s="26"/>
      <c r="B35" s="26"/>
      <c r="C35" s="191" t="s">
        <v>254</v>
      </c>
      <c r="D35" s="191"/>
      <c r="E35" s="191"/>
      <c r="F35" s="191"/>
      <c r="G35" s="191"/>
      <c r="H35" s="191"/>
      <c r="I35" s="191"/>
      <c r="J35" s="191"/>
      <c r="K35" s="191"/>
      <c r="L35" s="191"/>
      <c r="M35" s="191"/>
      <c r="N35" s="191"/>
      <c r="O35" s="191"/>
      <c r="P35" s="191"/>
      <c r="Q35" s="191"/>
      <c r="R35" s="44"/>
    </row>
    <row r="36" spans="1:18" x14ac:dyDescent="0.25">
      <c r="A36" s="26"/>
      <c r="B36" s="26"/>
      <c r="C36" s="189" t="s">
        <v>255</v>
      </c>
      <c r="D36" s="189"/>
      <c r="E36" s="190"/>
      <c r="F36" s="189" t="s">
        <v>256</v>
      </c>
      <c r="G36" s="189"/>
      <c r="H36" s="190"/>
      <c r="I36" s="189" t="s">
        <v>257</v>
      </c>
      <c r="J36" s="189"/>
      <c r="K36" s="190"/>
      <c r="L36" s="189" t="s">
        <v>258</v>
      </c>
      <c r="M36" s="189"/>
      <c r="N36" s="190"/>
      <c r="O36" s="189" t="s">
        <v>259</v>
      </c>
      <c r="P36" s="189"/>
      <c r="Q36" s="190"/>
      <c r="R36" s="27"/>
    </row>
    <row r="37" spans="1:18" ht="75" x14ac:dyDescent="0.25">
      <c r="A37" s="26"/>
      <c r="B37" s="28" t="s">
        <v>240</v>
      </c>
      <c r="C37" s="32" t="s">
        <v>241</v>
      </c>
      <c r="D37" s="30" t="s">
        <v>242</v>
      </c>
      <c r="E37" s="31" t="s">
        <v>243</v>
      </c>
      <c r="F37" s="32" t="s">
        <v>244</v>
      </c>
      <c r="G37" s="30" t="s">
        <v>245</v>
      </c>
      <c r="H37" s="31" t="s">
        <v>246</v>
      </c>
      <c r="I37" s="32" t="s">
        <v>241</v>
      </c>
      <c r="J37" s="30" t="s">
        <v>242</v>
      </c>
      <c r="K37" s="31" t="s">
        <v>243</v>
      </c>
      <c r="L37" s="32" t="s">
        <v>241</v>
      </c>
      <c r="M37" s="30" t="s">
        <v>242</v>
      </c>
      <c r="N37" s="31" t="s">
        <v>243</v>
      </c>
      <c r="O37" s="32" t="s">
        <v>241</v>
      </c>
      <c r="P37" s="30" t="s">
        <v>242</v>
      </c>
      <c r="Q37" s="31" t="s">
        <v>243</v>
      </c>
      <c r="R37" s="27"/>
    </row>
    <row r="38" spans="1:18" ht="50.1" customHeight="1" x14ac:dyDescent="0.25">
      <c r="A38" s="26">
        <v>1</v>
      </c>
      <c r="B38" s="34" t="s">
        <v>247</v>
      </c>
      <c r="C38" s="35">
        <f>+IFERROR(IF(AVERAGEIF(Consolidado!$EF:$EF,A38,Consolidado!$DY:$DY)&gt;1,1.00001,AVERAGEIF(Consolidado!$EF:$EF,A38,Consolidado!$DY:$DY)),0)</f>
        <v>1</v>
      </c>
      <c r="D38" s="36">
        <f>+IFERROR(IF(AVERAGEIFS(Consolidado!$DY:$DY,Consolidado!$EF:$EF,A38,Consolidado!$EG:$EG,"Producto")&gt;1,1.00001,AVERAGEIFS(Consolidado!$DY:$DY,Consolidado!$EF:$EF,A38,Consolidado!$EG:$EG,"Producto")),"No aplica")</f>
        <v>1</v>
      </c>
      <c r="E38" s="37">
        <f>+IFERROR(IF(AVERAGEIFS(Consolidado!$DY:$DY,Consolidado!$EF:$EF,A38,Consolidado!$EG:$EG,"Gestión")&gt;1,1.00001,AVERAGEIFS(Consolidado!$DY:$DY,Consolidado!$EF:$EF,A38,Consolidado!$EG:$EG,"Gestión")),"No aplica")</f>
        <v>1</v>
      </c>
      <c r="F38" s="35">
        <f>+IFERROR(IF(AVERAGEIF(Consolidado!$EF:$EF,A38,Consolidado!$DZ:$DZ)&gt;1,1.00001,AVERAGEIF(Consolidado!$EF:$EF,A38,Consolidado!$DZ:$DZ)),0)</f>
        <v>0.80000400000000005</v>
      </c>
      <c r="G38" s="36">
        <f>+IFERROR(IF(AVERAGEIFS(Consolidado!$DZ:$DZ,Consolidado!$EF:$EF,A38,Consolidado!$EG:$EG,"Producto")&gt;1,1.00001,AVERAGEIFS(Consolidado!$DZ:$DZ,Consolidado!$EF:$EF,A38,Consolidado!$EG:$EG,"Producto")),"No aplica")</f>
        <v>0.66667333333333334</v>
      </c>
      <c r="H38" s="37">
        <f>+IFERROR(IF(AVERAGEIFS(Consolidado!$DZ:$DZ,Consolidado!$EF:$EF,A38,Consolidado!$EG:$EG,"Gestión")&gt;1,1.00001,AVERAGEIFS(Consolidado!$DZ:$DZ,Consolidado!$EF:$EF,A38,Consolidado!$EG:$EG,"Gestión")),"No aplica")</f>
        <v>1</v>
      </c>
      <c r="I38" s="35">
        <f>+IFERROR(IF(AVERAGEIF(Consolidado!$EF:$EF,A38,Consolidado!$EA:$EA)&gt;1,1.00001,AVERAGEIF(Consolidado!$EF:$EF,A38,Consolidado!$EA:$EA)),0)</f>
        <v>0.5</v>
      </c>
      <c r="J38" s="36">
        <f>+IFERROR(IF(AVERAGEIFS(Consolidado!$EA:$EA,Consolidado!$EF:$EF,A38,Consolidado!$EG:$EG,"Producto")&gt;1,1.00001,AVERAGEIFS(Consolidado!$EA:$EA,Consolidado!$EF:$EF,A38,Consolidado!$EG:$EG,"Producto")),"No aplica")</f>
        <v>0.25</v>
      </c>
      <c r="K38" s="37">
        <f>+IFERROR(IF(AVERAGEIFS(Consolidado!$EA:$EA,Consolidado!$EF:$EF,A38,Consolidado!$EG:$EG,"Gestión")&gt;1,1.00001,AVERAGEIFS(Consolidado!$EA:$EA,Consolidado!$EF:$EF,A38,Consolidado!$EG:$EG,"Gestión")),"No aplica")</f>
        <v>1</v>
      </c>
      <c r="L38" s="35"/>
      <c r="M38" s="36"/>
      <c r="N38" s="37"/>
      <c r="O38" s="45">
        <f>+IFERROR(IF(AVERAGEIF(Consolidado!$EF:$EF,A38,Consolidado!$EC:$EC)&gt;1,1.00001,AVERAGEIF(Consolidado!$EF:$EF,A38,Consolidado!$EC:$EC)),0)</f>
        <v>0.81506576923076912</v>
      </c>
      <c r="P38" s="46">
        <f>+IFERROR(IF(AVERAGEIFS(Consolidado!$EC:$EC,Consolidado!$EF:$EF,A38,Consolidado!$EG:$EG,"Producto")&gt;1,1.00001,AVERAGEIFS(Consolidado!$EC:$EC,Consolidado!$EF:$EF,A38,Consolidado!$EG:$EG,"Producto")),"No aplica")</f>
        <v>0.72259865384615385</v>
      </c>
      <c r="Q38" s="47">
        <f>+IFERROR(IF(AVERAGEIFS(Consolidado!$EC:$EC,Consolidado!$EF:$EF,A38,Consolidado!EG:EG,"Gestión")&gt;1,1.00001,AVERAGEIFS(Consolidado!$EC:$EC,Consolidado!$EF:$EF,A38,Consolidado!$EG:$EG,"Gestión")),"No aplica")</f>
        <v>1</v>
      </c>
      <c r="R38" s="38"/>
    </row>
    <row r="39" spans="1:18" ht="50.1" customHeight="1" x14ac:dyDescent="0.25">
      <c r="A39" s="26">
        <v>2</v>
      </c>
      <c r="B39" s="34" t="s">
        <v>248</v>
      </c>
      <c r="C39" s="35">
        <f>+IFERROR(IF(AVERAGEIF(Consolidado!$EF:$EF,A39,Consolidado!$DY:$DY)&gt;1,1.00001,AVERAGEIF(Consolidado!$EF:$EF,A39,Consolidado!$DY:$DY)),0)</f>
        <v>0</v>
      </c>
      <c r="D39" s="36" t="str">
        <f>+IFERROR(IF(AVERAGEIFS(Consolidado!$DY:$DY,Consolidado!$EF:$EF,A39,Consolidado!$EG:$EG,"Producto")&gt;1,1.00001,AVERAGEIFS(Consolidado!$DY:$DY,Consolidado!$EF:$EF,A39,Consolidado!$EG:$EG,"Producto")),"No aplica")</f>
        <v>No aplica</v>
      </c>
      <c r="E39" s="37" t="str">
        <f>+IFERROR(IF(AVERAGEIFS(Consolidado!$DY:$DY,Consolidado!$EF:$EF,A39,Consolidado!$EG:$EG,"Gestión")&gt;1,1.00001,AVERAGEIFS(Consolidado!$DY:$DY,Consolidado!$EF:$EF,A39,Consolidado!$EG:$EG,"Gestión")),"No aplica")</f>
        <v>No aplica</v>
      </c>
      <c r="F39" s="35">
        <f>+IFERROR(IF(AVERAGEIF(Consolidado!$EF:$EF,A39,Consolidado!$DZ:$DZ)&gt;1,1.00001,AVERAGEIF(Consolidado!$EF:$EF,A39,Consolidado!$DZ:$DZ)),0)</f>
        <v>0</v>
      </c>
      <c r="G39" s="36" t="str">
        <f>+IFERROR(IF(AVERAGEIFS(Consolidado!$DZ:$DZ,Consolidado!$EF:$EF,A39,Consolidado!$EG:$EG,"Producto")&gt;1,1.00001,AVERAGEIFS(Consolidado!$DZ:$DZ,Consolidado!$EF:$EF,A39,Consolidado!$EG:$EG,"Producto")),"No aplica")</f>
        <v>No aplica</v>
      </c>
      <c r="H39" s="37" t="str">
        <f>+IFERROR(IF(AVERAGEIFS(Consolidado!$DZ:$DZ,Consolidado!$EF:$EF,A39,Consolidado!$EG:$EG,"Gestión")&gt;1,1.00001,AVERAGEIFS(Consolidado!$DZ:$DZ,Consolidado!$EF:$EF,A39,Consolidado!$EG:$EG,"Gestión")),"No aplica")</f>
        <v>No aplica</v>
      </c>
      <c r="I39" s="35">
        <f>+IFERROR(IF(AVERAGEIF(Consolidado!$EF:$EF,A39,Consolidado!$EA:$EA)&gt;1,1.00001,AVERAGEIF(Consolidado!$EF:$EF,A39,Consolidado!$EA:$EA)),0)</f>
        <v>0</v>
      </c>
      <c r="J39" s="36" t="str">
        <f>+IFERROR(IF(AVERAGEIFS(Consolidado!$EA:$EA,Consolidado!$EF:$EF,A39,Consolidado!$EG:$EG,"Producto")&gt;1,1.00001,AVERAGEIFS(Consolidado!$EA:$EA,Consolidado!$EF:$EF,A39,Consolidado!$EG:$EG,"Producto")),"No aplica")</f>
        <v>No aplica</v>
      </c>
      <c r="K39" s="37" t="str">
        <f>+IFERROR(IF(AVERAGEIFS(Consolidado!$EA:$EA,Consolidado!$EF:$EF,A39,Consolidado!$EG:$EG,"Gestión")&gt;1,1.00001,AVERAGEIFS(Consolidado!$EA:$EA,Consolidado!$EF:$EF,A39,Consolidado!$EG:$EG,"Gestión")),"No aplica")</f>
        <v>No aplica</v>
      </c>
      <c r="L39" s="35"/>
      <c r="M39" s="36"/>
      <c r="N39" s="37"/>
      <c r="O39" s="45">
        <f>+IFERROR(IF(AVERAGEIF(Consolidado!$EF:$EF,A39,Consolidado!$EC:$EC)&gt;1,1.00001,AVERAGEIF(Consolidado!$EF:$EF,A39,Consolidado!$EC:$EC)),0)</f>
        <v>0</v>
      </c>
      <c r="P39" s="46" t="str">
        <f>+IFERROR(IF(AVERAGEIFS(Consolidado!$EC:$EC,Consolidado!$EF:$EF,A39,Consolidado!$EG:$EG,"Producto")&gt;1,1.00001,AVERAGEIFS(Consolidado!$EC:$EC,Consolidado!$EF:$EF,A39,Consolidado!$EG:$EG,"Producto")),"No aplica")</f>
        <v>No aplica</v>
      </c>
      <c r="Q39" s="47" t="str">
        <f>+IFERROR(IF(AVERAGEIFS(Consolidado!$EC:$EC,Consolidado!$EF:$EF,A39,Consolidado!EG:EG,"Gestión")&gt;1,1.00001,AVERAGEIFS(Consolidado!$EC:$EC,Consolidado!$EF:$EF,A39,Consolidado!$EG:$EG,"Gestión")),"No aplica")</f>
        <v>No aplica</v>
      </c>
      <c r="R39" s="38"/>
    </row>
    <row r="40" spans="1:18" ht="50.1" customHeight="1" x14ac:dyDescent="0.25">
      <c r="A40" s="26">
        <v>3</v>
      </c>
      <c r="B40" s="34" t="s">
        <v>249</v>
      </c>
      <c r="C40" s="35">
        <f>+IFERROR(IF(AVERAGEIF(Consolidado!$EF:$EF,A40,Consolidado!$DY:$DY)&gt;1,1.00001,AVERAGEIF(Consolidado!$EF:$EF,A40,Consolidado!$DY:$DY)),0)</f>
        <v>0</v>
      </c>
      <c r="D40" s="36" t="str">
        <f>+IFERROR(IF(AVERAGEIFS(Consolidado!$DY:$DY,Consolidado!$EF:$EF,A40,Consolidado!$EG:$EG,"Producto")&gt;1,1.00001,AVERAGEIFS(Consolidado!$DY:$DY,Consolidado!$EF:$EF,A40,Consolidado!$EG:$EG,"Producto")),"No aplica")</f>
        <v>No aplica</v>
      </c>
      <c r="E40" s="37" t="str">
        <f>+IFERROR(IF(AVERAGEIFS(Consolidado!$DY:$DY,Consolidado!$EF:$EF,A40,Consolidado!$EG:$EG,"Gestión")&gt;1,1.00001,AVERAGEIFS(Consolidado!$DY:$DY,Consolidado!$EF:$EF,A40,Consolidado!$EG:$EG,"Gestión")),"No aplica")</f>
        <v>No aplica</v>
      </c>
      <c r="F40" s="35">
        <f>+IFERROR(IF(AVERAGEIF(Consolidado!$EF:$EF,A40,Consolidado!$DZ:$DZ)&gt;1,1.00001,AVERAGEIF(Consolidado!$EF:$EF,A40,Consolidado!$DZ:$DZ)),0)</f>
        <v>0</v>
      </c>
      <c r="G40" s="36" t="str">
        <f>+IFERROR(IF(AVERAGEIFS(Consolidado!$DZ:$DZ,Consolidado!$EF:$EF,A40,Consolidado!$EG:$EG,"Producto")&gt;1,1.00001,AVERAGEIFS(Consolidado!$DZ:$DZ,Consolidado!$EF:$EF,A40,Consolidado!$EG:$EG,"Producto")),"No aplica")</f>
        <v>No aplica</v>
      </c>
      <c r="H40" s="37" t="str">
        <f>+IFERROR(IF(AVERAGEIFS(Consolidado!$DZ:$DZ,Consolidado!$EF:$EF,A40,Consolidado!$EG:$EG,"Gestión")&gt;1,1.00001,AVERAGEIFS(Consolidado!$DZ:$DZ,Consolidado!$EF:$EF,A40,Consolidado!$EG:$EG,"Gestión")),"No aplica")</f>
        <v>No aplica</v>
      </c>
      <c r="I40" s="35">
        <f>+IFERROR(IF(AVERAGEIF(Consolidado!$EF:$EF,A40,Consolidado!$EA:$EA)&gt;1,1.00001,AVERAGEIF(Consolidado!$EF:$EF,A40,Consolidado!$EA:$EA)),0)</f>
        <v>0</v>
      </c>
      <c r="J40" s="36" t="str">
        <f>+IFERROR(IF(AVERAGEIFS(Consolidado!$EA:$EA,Consolidado!$EF:$EF,A40,Consolidado!$EG:$EG,"Producto")&gt;1,1.00001,AVERAGEIFS(Consolidado!$EA:$EA,Consolidado!$EF:$EF,A40,Consolidado!$EG:$EG,"Producto")),"No aplica")</f>
        <v>No aplica</v>
      </c>
      <c r="K40" s="37" t="str">
        <f>+IFERROR(IF(AVERAGEIFS(Consolidado!$EA:$EA,Consolidado!$EF:$EF,A40,Consolidado!$EG:$EG,"Gestión")&gt;1,1.00001,AVERAGEIFS(Consolidado!$EA:$EA,Consolidado!$EF:$EF,A40,Consolidado!$EG:$EG,"Gestión")),"No aplica")</f>
        <v>No aplica</v>
      </c>
      <c r="L40" s="35"/>
      <c r="M40" s="36"/>
      <c r="N40" s="37"/>
      <c r="O40" s="45">
        <f>+IFERROR(IF(AVERAGEIF(Consolidado!$EF:$EF,A40,Consolidado!$EC:$EC)&gt;1,1.00001,AVERAGEIF(Consolidado!$EF:$EF,A40,Consolidado!$EC:$EC)),0)</f>
        <v>0</v>
      </c>
      <c r="P40" s="46" t="str">
        <f>+IFERROR(IF(AVERAGEIFS(Consolidado!$EC:$EC,Consolidado!$EF:$EF,A40,Consolidado!$EG:$EG,"Producto")&gt;1,1.00001,AVERAGEIFS(Consolidado!$EC:$EC,Consolidado!$EF:$EF,A40,Consolidado!$EG:$EG,"Producto")),"No aplica")</f>
        <v>No aplica</v>
      </c>
      <c r="Q40" s="47" t="str">
        <f>+IFERROR(IF(AVERAGEIFS(Consolidado!$EC:$EC,Consolidado!$EF:$EF,A40,Consolidado!EG:EG,"Gestión")&gt;1,1.00001,AVERAGEIFS(Consolidado!$EC:$EC,Consolidado!$EF:$EF,A40,Consolidado!$EG:$EG,"Gestión")),"No aplica")</f>
        <v>No aplica</v>
      </c>
      <c r="R40" s="38"/>
    </row>
    <row r="41" spans="1:18" ht="50.1" customHeight="1" x14ac:dyDescent="0.25">
      <c r="A41" s="26">
        <v>4</v>
      </c>
      <c r="B41" s="34" t="s">
        <v>250</v>
      </c>
      <c r="C41" s="35">
        <f>+IFERROR(IF(AVERAGEIF(Consolidado!$EF:$EF,A41,Consolidado!$DY:$DY)&gt;1,1.00001,AVERAGEIF(Consolidado!$EF:$EF,A41,Consolidado!$DY:$DY)),0)</f>
        <v>0</v>
      </c>
      <c r="D41" s="36" t="str">
        <f>+IFERROR(IF(AVERAGEIFS(Consolidado!$DY:$DY,Consolidado!$EF:$EF,A41,Consolidado!$EG:$EG,"Producto")&gt;1,1.00001,AVERAGEIFS(Consolidado!$DY:$DY,Consolidado!$EF:$EF,A41,Consolidado!$EG:$EG,"Producto")),"No aplica")</f>
        <v>No aplica</v>
      </c>
      <c r="E41" s="37" t="str">
        <f>+IFERROR(IF(AVERAGEIFS(Consolidado!$DY:$DY,Consolidado!$EF:$EF,A41,Consolidado!$EG:$EG,"Gestión")&gt;1,1.00001,AVERAGEIFS(Consolidado!$DY:$DY,Consolidado!$EF:$EF,A41,Consolidado!$EG:$EG,"Gestión")),"No aplica")</f>
        <v>No aplica</v>
      </c>
      <c r="F41" s="35">
        <f>+IFERROR(IF(AVERAGEIF(Consolidado!$EF:$EF,A41,Consolidado!$DZ:$DZ)&gt;1,1.00001,AVERAGEIF(Consolidado!$EF:$EF,A41,Consolidado!$DZ:$DZ)),0)</f>
        <v>0</v>
      </c>
      <c r="G41" s="36" t="str">
        <f>+IFERROR(IF(AVERAGEIFS(Consolidado!$DZ:$DZ,Consolidado!$EF:$EF,A41,Consolidado!$EG:$EG,"Producto")&gt;1,1.00001,AVERAGEIFS(Consolidado!$DZ:$DZ,Consolidado!$EF:$EF,A41,Consolidado!$EG:$EG,"Producto")),"No aplica")</f>
        <v>No aplica</v>
      </c>
      <c r="H41" s="37" t="str">
        <f>+IFERROR(IF(AVERAGEIFS(Consolidado!$DZ:$DZ,Consolidado!$EF:$EF,A41,Consolidado!$EG:$EG,"Gestión")&gt;1,1.00001,AVERAGEIFS(Consolidado!$DZ:$DZ,Consolidado!$EF:$EF,A41,Consolidado!$EG:$EG,"Gestión")),"No aplica")</f>
        <v>No aplica</v>
      </c>
      <c r="I41" s="35">
        <f>+IFERROR(IF(AVERAGEIF(Consolidado!$EF:$EF,A41,Consolidado!$EA:$EA)&gt;1,1.00001,AVERAGEIF(Consolidado!$EF:$EF,A41,Consolidado!$EA:$EA)),0)</f>
        <v>0</v>
      </c>
      <c r="J41" s="36" t="str">
        <f>+IFERROR(IF(AVERAGEIFS(Consolidado!$EA:$EA,Consolidado!$EF:$EF,A41,Consolidado!$EG:$EG,"Producto")&gt;1,1.00001,AVERAGEIFS(Consolidado!$EA:$EA,Consolidado!$EF:$EF,A41,Consolidado!$EG:$EG,"Producto")),"No aplica")</f>
        <v>No aplica</v>
      </c>
      <c r="K41" s="37" t="str">
        <f>+IFERROR(IF(AVERAGEIFS(Consolidado!$EA:$EA,Consolidado!$EF:$EF,A41,Consolidado!$EG:$EG,"Gestión")&gt;1,1.00001,AVERAGEIFS(Consolidado!$EA:$EA,Consolidado!$EF:$EF,A41,Consolidado!$EG:$EG,"Gestión")),"No aplica")</f>
        <v>No aplica</v>
      </c>
      <c r="L41" s="35"/>
      <c r="M41" s="36"/>
      <c r="N41" s="37"/>
      <c r="O41" s="45">
        <f>+IFERROR(IF(AVERAGEIF(Consolidado!$EF:$EF,A41,Consolidado!$EC:$EC)&gt;1,1.00001,AVERAGEIF(Consolidado!$EF:$EF,A41,Consolidado!$EC:$EC)),0)</f>
        <v>0</v>
      </c>
      <c r="P41" s="46" t="str">
        <f>+IFERROR(IF(AVERAGEIFS(Consolidado!$EC:$EC,Consolidado!$EF:$EF,A41,Consolidado!$EG:$EG,"Producto")&gt;1,1.00001,AVERAGEIFS(Consolidado!$EC:$EC,Consolidado!$EF:$EF,A41,Consolidado!$EG:$EG,"Producto")),"No aplica")</f>
        <v>No aplica</v>
      </c>
      <c r="Q41" s="47" t="str">
        <f>+IFERROR(IF(AVERAGEIFS(Consolidado!$EC:$EC,Consolidado!$EF:$EF,A41,Consolidado!EG:EG,"Gestión")&gt;1,1.00001,AVERAGEIFS(Consolidado!$EC:$EC,Consolidado!$EF:$EF,A41,Consolidado!$EG:$EG,"Gestión")),"No aplica")</f>
        <v>No aplica</v>
      </c>
      <c r="R41" s="38"/>
    </row>
    <row r="42" spans="1:18" ht="50.1" customHeight="1" x14ac:dyDescent="0.25">
      <c r="A42" s="26">
        <v>5</v>
      </c>
      <c r="B42" s="34" t="s">
        <v>251</v>
      </c>
      <c r="C42" s="35">
        <f>+IFERROR(IF(AVERAGEIF(Consolidado!$EF:$EF,A42,Consolidado!$DY:$DY)&gt;1,1.00001,AVERAGEIF(Consolidado!$EF:$EF,A42,Consolidado!$DY:$DY)),0)</f>
        <v>0</v>
      </c>
      <c r="D42" s="36" t="str">
        <f>+IFERROR(IF(AVERAGEIFS(Consolidado!$DY:$DY,Consolidado!$EF:$EF,A42,Consolidado!$EG:$EG,"Producto")&gt;1,1.00001,AVERAGEIFS(Consolidado!$DY:$DY,Consolidado!$EF:$EF,A42,Consolidado!$EG:$EG,"Producto")),"No aplica")</f>
        <v>No aplica</v>
      </c>
      <c r="E42" s="37" t="str">
        <f>+IFERROR(IF(AVERAGEIFS(Consolidado!$DY:$DY,Consolidado!$EF:$EF,A42,Consolidado!$EG:$EG,"Gestión")&gt;1,1.00001,AVERAGEIFS(Consolidado!$DY:$DY,Consolidado!$EF:$EF,A42,Consolidado!$EG:$EG,"Gestión")),"No aplica")</f>
        <v>No aplica</v>
      </c>
      <c r="F42" s="35">
        <f>+IFERROR(IF(AVERAGEIF(Consolidado!$EF:$EF,A42,Consolidado!$DZ:$DZ)&gt;1,1.00001,AVERAGEIF(Consolidado!$EF:$EF,A42,Consolidado!$DZ:$DZ)),0)</f>
        <v>0</v>
      </c>
      <c r="G42" s="36" t="str">
        <f>+IFERROR(IF(AVERAGEIFS(Consolidado!$DZ:$DZ,Consolidado!$EF:$EF,A42,Consolidado!$EG:$EG,"Producto")&gt;1,1.00001,AVERAGEIFS(Consolidado!$DZ:$DZ,Consolidado!$EF:$EF,A42,Consolidado!$EG:$EG,"Producto")),"No aplica")</f>
        <v>No aplica</v>
      </c>
      <c r="H42" s="37" t="str">
        <f>+IFERROR(IF(AVERAGEIFS(Consolidado!$DZ:$DZ,Consolidado!$EF:$EF,A42,Consolidado!$EG:$EG,"Gestión")&gt;1,1.00001,AVERAGEIFS(Consolidado!$DZ:$DZ,Consolidado!$EF:$EF,A42,Consolidado!$EG:$EG,"Gestión")),"No aplica")</f>
        <v>No aplica</v>
      </c>
      <c r="I42" s="35">
        <f>+IFERROR(IF(AVERAGEIF(Consolidado!$EF:$EF,A42,Consolidado!$EA:$EA)&gt;1,1.00001,AVERAGEIF(Consolidado!$EF:$EF,A42,Consolidado!$EA:$EA)),0)</f>
        <v>0</v>
      </c>
      <c r="J42" s="36" t="str">
        <f>+IFERROR(IF(AVERAGEIFS(Consolidado!$EA:$EA,Consolidado!$EF:$EF,A42,Consolidado!$EG:$EG,"Producto")&gt;1,1.00001,AVERAGEIFS(Consolidado!$EA:$EA,Consolidado!$EF:$EF,A42,Consolidado!$EG:$EG,"Producto")),"No aplica")</f>
        <v>No aplica</v>
      </c>
      <c r="K42" s="37" t="str">
        <f>+IFERROR(IF(AVERAGEIFS(Consolidado!$EA:$EA,Consolidado!$EF:$EF,A42,Consolidado!$EG:$EG,"Gestión")&gt;1,1.00001,AVERAGEIFS(Consolidado!$EA:$EA,Consolidado!$EF:$EF,A42,Consolidado!$EG:$EG,"Gestión")),"No aplica")</f>
        <v>No aplica</v>
      </c>
      <c r="L42" s="35"/>
      <c r="M42" s="36"/>
      <c r="N42" s="37"/>
      <c r="O42" s="45">
        <f>+IFERROR(IF(AVERAGEIF(Consolidado!$EF:$EF,A42,Consolidado!$EC:$EC)&gt;1,1.00001,AVERAGEIF(Consolidado!$EF:$EF,A42,Consolidado!$EC:$EC)),0)</f>
        <v>0</v>
      </c>
      <c r="P42" s="46" t="str">
        <f>+IFERROR(IF(AVERAGEIFS(Consolidado!$EC:$EC,Consolidado!$EF:$EF,A42,Consolidado!$EG:$EG,"Producto")&gt;1,1.00001,AVERAGEIFS(Consolidado!$EC:$EC,Consolidado!$EF:$EF,A42,Consolidado!$EG:$EG,"Producto")),"No aplica")</f>
        <v>No aplica</v>
      </c>
      <c r="Q42" s="47" t="str">
        <f>+IFERROR(IF(AVERAGEIFS(Consolidado!$EC:$EC,Consolidado!$EF:$EF,A42,Consolidado!EG:EG,"Gestión")&gt;1,1.00001,AVERAGEIFS(Consolidado!$EC:$EC,Consolidado!$EF:$EF,A42,Consolidado!$EG:$EG,"Gestión")),"No aplica")</f>
        <v>No aplica</v>
      </c>
      <c r="R42" s="38"/>
    </row>
    <row r="43" spans="1:18" ht="50.1" customHeight="1" x14ac:dyDescent="0.25">
      <c r="A43" s="26">
        <v>6</v>
      </c>
      <c r="B43" s="34" t="s">
        <v>252</v>
      </c>
      <c r="C43" s="35">
        <f>+IFERROR(IF(AVERAGEIF(Consolidado!$EF:$EF,A43,Consolidado!$DY:$DY)&gt;1,1.00001,AVERAGEIF(Consolidado!$EF:$EF,A43,Consolidado!$DY:$DY)),0)</f>
        <v>0</v>
      </c>
      <c r="D43" s="36" t="str">
        <f>+IFERROR(IF(AVERAGEIFS(Consolidado!$DY:$DY,Consolidado!$EF:$EF,A43,Consolidado!$EG:$EG,"Producto")&gt;1,1.00001,AVERAGEIFS(Consolidado!$DY:$DY,Consolidado!$EF:$EF,A43,Consolidado!$EG:$EG,"Producto")),"No aplica")</f>
        <v>No aplica</v>
      </c>
      <c r="E43" s="37" t="str">
        <f>+IFERROR(IF(AVERAGEIFS(Consolidado!$DY:$DY,Consolidado!$EF:$EF,A43,Consolidado!$EG:$EG,"Gestión")&gt;1,1.00001,AVERAGEIFS(Consolidado!$DY:$DY,Consolidado!$EF:$EF,A43,Consolidado!$EG:$EG,"Gestión")),"No aplica")</f>
        <v>No aplica</v>
      </c>
      <c r="F43" s="35">
        <f>+IFERROR(IF(AVERAGEIF(Consolidado!$EF:$EF,A43,Consolidado!$DZ:$DZ)&gt;1,1.00001,AVERAGEIF(Consolidado!$EF:$EF,A43,Consolidado!$DZ:$DZ)),0)</f>
        <v>0</v>
      </c>
      <c r="G43" s="36" t="str">
        <f>+IFERROR(IF(AVERAGEIFS(Consolidado!$DZ:$DZ,Consolidado!$EF:$EF,A43,Consolidado!$EG:$EG,"Producto")&gt;1,1.00001,AVERAGEIFS(Consolidado!$DZ:$DZ,Consolidado!$EF:$EF,A43,Consolidado!$EG:$EG,"Producto")),"No aplica")</f>
        <v>No aplica</v>
      </c>
      <c r="H43" s="37" t="str">
        <f>+IFERROR(IF(AVERAGEIFS(Consolidado!$DZ:$DZ,Consolidado!$EF:$EF,A43,Consolidado!$EG:$EG,"Gestión")&gt;1,1.00001,AVERAGEIFS(Consolidado!$DZ:$DZ,Consolidado!$EF:$EF,A43,Consolidado!$EG:$EG,"Gestión")),"No aplica")</f>
        <v>No aplica</v>
      </c>
      <c r="I43" s="35">
        <f>+IFERROR(IF(AVERAGEIF(Consolidado!$EF:$EF,A43,Consolidado!$EA:$EA)&gt;1,1.00001,AVERAGEIF(Consolidado!$EF:$EF,A43,Consolidado!$EA:$EA)),0)</f>
        <v>0</v>
      </c>
      <c r="J43" s="36" t="str">
        <f>+IFERROR(IF(AVERAGEIFS(Consolidado!$EA:$EA,Consolidado!$EF:$EF,A43,Consolidado!$EG:$EG,"Producto")&gt;1,1.00001,AVERAGEIFS(Consolidado!$EA:$EA,Consolidado!$EF:$EF,A43,Consolidado!$EG:$EG,"Producto")),"No aplica")</f>
        <v>No aplica</v>
      </c>
      <c r="K43" s="37" t="str">
        <f>+IFERROR(IF(AVERAGEIFS(Consolidado!$EA:$EA,Consolidado!$EF:$EF,A43,Consolidado!$EG:$EG,"Gestión")&gt;1,1.00001,AVERAGEIFS(Consolidado!$EA:$EA,Consolidado!$EF:$EF,A43,Consolidado!$EG:$EG,"Gestión")),"No aplica")</f>
        <v>No aplica</v>
      </c>
      <c r="L43" s="35"/>
      <c r="M43" s="36"/>
      <c r="N43" s="37"/>
      <c r="O43" s="45">
        <f>+IFERROR(IF(AVERAGEIF(Consolidado!$EF:$EF,A43,Consolidado!$EC:$EC)&gt;1,1.00001,AVERAGEIF(Consolidado!$EF:$EF,A43,Consolidado!$EC:$EC)),0)</f>
        <v>0</v>
      </c>
      <c r="P43" s="46" t="str">
        <f>+IFERROR(IF(AVERAGEIFS(Consolidado!$EC:$EC,Consolidado!$EF:$EF,A43,Consolidado!$EG:$EG,"Producto")&gt;1,1.00001,AVERAGEIFS(Consolidado!$EC:$EC,Consolidado!$EF:$EF,A43,Consolidado!$EG:$EG,"Producto")),"No aplica")</f>
        <v>No aplica</v>
      </c>
      <c r="Q43" s="47" t="str">
        <f>+IFERROR(IF(AVERAGEIFS(Consolidado!$EC:$EC,Consolidado!$EF:$EF,A43,Consolidado!EG:EG,"Gestión")&gt;1,1.00001,AVERAGEIFS(Consolidado!$EC:$EC,Consolidado!$EF:$EF,A43,Consolidado!$EG:$EG,"Gestión")),"No aplica")</f>
        <v>No aplica</v>
      </c>
      <c r="R43" s="38"/>
    </row>
    <row r="44" spans="1:18" ht="16.5" thickBot="1" x14ac:dyDescent="0.3">
      <c r="A44" s="26"/>
      <c r="B44" s="41" t="s">
        <v>253</v>
      </c>
      <c r="C44" s="48">
        <f t="shared" ref="C44:Q44" si="1">IFERROR(AVERAGE(C38:C43),0%)</f>
        <v>0.16666666666666666</v>
      </c>
      <c r="D44" s="48">
        <f t="shared" si="1"/>
        <v>1</v>
      </c>
      <c r="E44" s="48">
        <f t="shared" si="1"/>
        <v>1</v>
      </c>
      <c r="F44" s="48">
        <f t="shared" si="1"/>
        <v>0.13333400000000001</v>
      </c>
      <c r="G44" s="48">
        <f t="shared" si="1"/>
        <v>0.66667333333333334</v>
      </c>
      <c r="H44" s="48">
        <f t="shared" si="1"/>
        <v>1</v>
      </c>
      <c r="I44" s="48">
        <f t="shared" si="1"/>
        <v>8.3333333333333329E-2</v>
      </c>
      <c r="J44" s="48">
        <f t="shared" si="1"/>
        <v>0.25</v>
      </c>
      <c r="K44" s="48">
        <f t="shared" si="1"/>
        <v>1</v>
      </c>
      <c r="L44" s="48"/>
      <c r="M44" s="48"/>
      <c r="N44" s="48"/>
      <c r="O44" s="48">
        <f t="shared" si="1"/>
        <v>0.13584429487179486</v>
      </c>
      <c r="P44" s="48">
        <f t="shared" si="1"/>
        <v>0.72259865384615385</v>
      </c>
      <c r="Q44" s="48">
        <f t="shared" si="1"/>
        <v>1</v>
      </c>
      <c r="R44" s="43"/>
    </row>
    <row r="45" spans="1:18" x14ac:dyDescent="0.25">
      <c r="A45" s="26"/>
      <c r="B45" s="26"/>
      <c r="C45"/>
      <c r="D45"/>
      <c r="E45"/>
      <c r="F45"/>
      <c r="G45"/>
      <c r="H45"/>
      <c r="I45"/>
      <c r="J45"/>
      <c r="K45"/>
    </row>
    <row r="46" spans="1:18" x14ac:dyDescent="0.25">
      <c r="A46" s="26"/>
      <c r="B46" s="26"/>
      <c r="C46"/>
      <c r="D46"/>
      <c r="E46"/>
      <c r="F46"/>
      <c r="G46"/>
      <c r="H46"/>
      <c r="I46"/>
      <c r="J46"/>
      <c r="K46"/>
    </row>
    <row r="47" spans="1:18" ht="20.100000000000001" customHeight="1" thickBot="1" x14ac:dyDescent="0.3">
      <c r="B47" s="26"/>
      <c r="C47" s="188" t="s">
        <v>234</v>
      </c>
      <c r="D47" s="188"/>
      <c r="E47" s="188"/>
      <c r="F47" s="188"/>
      <c r="G47" s="188"/>
      <c r="H47" s="188"/>
      <c r="I47" s="188"/>
      <c r="J47" s="188"/>
      <c r="K47" s="188"/>
      <c r="L47" s="188"/>
      <c r="M47" s="188"/>
      <c r="N47" s="188"/>
      <c r="O47" s="193"/>
      <c r="P47" s="193"/>
      <c r="Q47" s="193"/>
      <c r="R47" s="5"/>
    </row>
    <row r="48" spans="1:18" ht="15.75" customHeight="1" x14ac:dyDescent="0.25">
      <c r="C48" s="192" t="s">
        <v>235</v>
      </c>
      <c r="D48" s="189"/>
      <c r="E48" s="190"/>
      <c r="F48" s="192" t="s">
        <v>236</v>
      </c>
      <c r="G48" s="189"/>
      <c r="H48" s="190"/>
      <c r="I48" s="192" t="s">
        <v>237</v>
      </c>
      <c r="J48" s="189"/>
      <c r="K48" s="190"/>
      <c r="L48" s="192" t="s">
        <v>238</v>
      </c>
      <c r="M48" s="189"/>
      <c r="N48" s="190"/>
      <c r="O48" s="192" t="s">
        <v>262</v>
      </c>
      <c r="P48" s="189"/>
      <c r="Q48" s="190"/>
      <c r="R48" s="27"/>
    </row>
    <row r="49" spans="1:19" ht="75" customHeight="1" x14ac:dyDescent="0.25">
      <c r="B49" s="50" t="s">
        <v>260</v>
      </c>
      <c r="C49" s="29" t="s">
        <v>241</v>
      </c>
      <c r="D49" s="30" t="s">
        <v>242</v>
      </c>
      <c r="E49" s="31" t="s">
        <v>243</v>
      </c>
      <c r="F49" s="29" t="s">
        <v>244</v>
      </c>
      <c r="G49" s="30" t="s">
        <v>245</v>
      </c>
      <c r="H49" s="31" t="s">
        <v>246</v>
      </c>
      <c r="I49" s="29" t="s">
        <v>241</v>
      </c>
      <c r="J49" s="30" t="s">
        <v>242</v>
      </c>
      <c r="K49" s="31" t="s">
        <v>243</v>
      </c>
      <c r="L49" s="29" t="s">
        <v>241</v>
      </c>
      <c r="M49" s="30" t="s">
        <v>242</v>
      </c>
      <c r="N49" s="31" t="s">
        <v>243</v>
      </c>
      <c r="O49" s="29" t="s">
        <v>241</v>
      </c>
      <c r="P49" s="30" t="s">
        <v>242</v>
      </c>
      <c r="Q49" s="31" t="s">
        <v>243</v>
      </c>
      <c r="R49" s="27"/>
    </row>
    <row r="50" spans="1:19" s="39" customFormat="1" ht="20.100000000000001" customHeight="1" x14ac:dyDescent="0.25">
      <c r="A50" s="33"/>
      <c r="B50" s="51" t="s">
        <v>40</v>
      </c>
      <c r="C50" s="52">
        <f>+IFERROR(IF(AVERAGEIF(Consolidado!$A:$A,$B50,Consolidado!$DX:$DX)&gt;1,1.00001,AVERAGEIF(Consolidado!$A:$A,$B50,Consolidado!$DX:$DX)),0)</f>
        <v>0</v>
      </c>
      <c r="D50" s="36" t="str">
        <f>+IFERROR(IF(AVERAGEIFS(Consolidado!$DX:$DX,Consolidado!$A:$A,$B50,Consolidado!$EG:$EG,"Producto")&gt;1,1.00001,AVERAGEIFS(Consolidado!$DX:$DX,Consolidado!$A:$A,$B50,Consolidado!$EG:$EG,"Producto")),"No aplica")</f>
        <v>No aplica</v>
      </c>
      <c r="E50" s="36" t="str">
        <f>+IFERROR(IF(AVERAGEIFS(Consolidado!$DX:$DX,Consolidado!$A:$A,$B50,Consolidado!$EG:$EG,"Gestión")&gt;1,1.00001,AVERAGEIFS(Consolidado!$DX:$DX,Consolidado!$A:$A,$B50,Consolidado!$EG:$EG,"Gestión")),"No aplica")</f>
        <v>No aplica</v>
      </c>
      <c r="F50" s="52"/>
      <c r="G50" s="36"/>
      <c r="H50" s="36"/>
      <c r="I50" s="52"/>
      <c r="J50" s="36"/>
      <c r="K50" s="36"/>
      <c r="L50" s="52"/>
      <c r="M50" s="36"/>
      <c r="N50" s="36"/>
      <c r="O50" s="52">
        <f>+IFERROR(IF(AVERAGEIF(Consolidado!$A:$A,$B50,Consolidado!$EA:$EA)&gt;1,1.00001,AVERAGEIF(Consolidado!$A:$A,$B50,Consolidado!$EA:$EA)),0)</f>
        <v>0</v>
      </c>
      <c r="P50" s="36" t="str">
        <f>+IFERROR(IF(AVERAGEIFS(Consolidado!$EA:$EA,Consolidado!$A:$A,$B50,Consolidado!$EG:$EG,"Producto")&gt;1,1.00001,AVERAGEIFS(Consolidado!$EA:$EA,Consolidado!$A:$A,$B50,Consolidado!$EG:$EG,"Producto")),"No aplica")</f>
        <v>No aplica</v>
      </c>
      <c r="Q50" s="36" t="str">
        <f>+IFERROR(IF(AVERAGEIFS(Consolidado!$EA:$EA,Consolidado!$A:$A,$B50,Consolidado!$EG:$EG,"Gestión")&gt;1,1.00001,AVERAGEIFS(Consolidado!$EA:$EA,Consolidado!$A:$A,$B50,Consolidado!$EG:$EG,"Gestión")),"No aplica")</f>
        <v>No aplica</v>
      </c>
      <c r="R50" s="38"/>
    </row>
    <row r="51" spans="1:19" s="39" customFormat="1" ht="20.100000000000001" customHeight="1" x14ac:dyDescent="0.25">
      <c r="A51" s="33"/>
      <c r="B51" s="51" t="s">
        <v>41</v>
      </c>
      <c r="C51" s="52">
        <f>+IFERROR(IF(AVERAGEIF(Consolidado!$A:$A,$B51,Consolidado!$DX:$DX)&gt;1,1.00001,AVERAGEIF(Consolidado!$A:$A,$B51,Consolidado!$DX:$DX)),0)</f>
        <v>1</v>
      </c>
      <c r="D51" s="36">
        <f>+IFERROR(IF(AVERAGEIFS(Consolidado!$DX:$DX,Consolidado!$A:$A,$B51,Consolidado!$EG:$EG,"Producto")&gt;1,1.00001,AVERAGEIFS(Consolidado!$DX:$DX,Consolidado!$A:$A,$B51,Consolidado!$EG:$EG,"Producto")),"No aplica")</f>
        <v>1</v>
      </c>
      <c r="E51" s="36">
        <f>+IFERROR(IF(AVERAGEIFS(Consolidado!$DX:$DX,Consolidado!$A:$A,$B51,Consolidado!$EG:$EG,"Gestión")&gt;1,1.00001,AVERAGEIFS(Consolidado!$DX:$DX,Consolidado!$A:$A,$B51,Consolidado!$EG:$EG,"Gestión")),"No aplica")</f>
        <v>1</v>
      </c>
      <c r="F51" s="52"/>
      <c r="G51" s="36"/>
      <c r="H51" s="36"/>
      <c r="I51" s="52"/>
      <c r="J51" s="36"/>
      <c r="K51" s="36"/>
      <c r="L51" s="52"/>
      <c r="M51" s="36"/>
      <c r="N51" s="36"/>
      <c r="O51" s="52">
        <f>+IFERROR(IF(AVERAGEIF(Consolidado!$A:$A,$B51,Consolidado!$EA:$EA)&gt;1,1.00001,AVERAGEIF(Consolidado!$A:$A,$B51,Consolidado!$EA:$EA)),0)</f>
        <v>0.5</v>
      </c>
      <c r="P51" s="36">
        <f>+IFERROR(IF(AVERAGEIFS(Consolidado!$EA:$EA,Consolidado!$A:$A,$B51,Consolidado!$EG:$EG,"Producto")&gt;1,1.00001,AVERAGEIFS(Consolidado!$EA:$EA,Consolidado!$A:$A,$B51,Consolidado!$EG:$EG,"Producto")),"No aplica")</f>
        <v>0.25</v>
      </c>
      <c r="Q51" s="36">
        <f>+IFERROR(IF(AVERAGEIFS(Consolidado!$EA:$EA,Consolidado!$A:$A,$B51,Consolidado!$EG:$EG,"Gestión")&gt;1,1.00001,AVERAGEIFS(Consolidado!$EA:$EA,Consolidado!$A:$A,$B51,Consolidado!$EG:$EG,"Gestión")),"No aplica")</f>
        <v>1</v>
      </c>
      <c r="R51" s="38"/>
      <c r="S51" s="40"/>
    </row>
    <row r="52" spans="1:19" s="39" customFormat="1" ht="20.100000000000001" customHeight="1" x14ac:dyDescent="0.25">
      <c r="A52" s="33"/>
      <c r="B52" s="51" t="s">
        <v>207</v>
      </c>
      <c r="C52" s="52">
        <f>+IFERROR(IF(AVERAGEIF(Consolidado!$A:$A,$B52,Consolidado!$DX:$DX)&gt;1,1.00001,AVERAGEIF(Consolidado!$A:$A,$B52,Consolidado!$DX:$DX)),0)</f>
        <v>0</v>
      </c>
      <c r="D52" s="36" t="str">
        <f>+IFERROR(IF(AVERAGEIFS(Consolidado!$DX:$DX,Consolidado!$A:$A,$B52,Consolidado!$EG:$EG,"Producto")&gt;1,1.00001,AVERAGEIFS(Consolidado!$DX:$DX,Consolidado!$A:$A,$B52,Consolidado!$EG:$EG,"Producto")),"No aplica")</f>
        <v>No aplica</v>
      </c>
      <c r="E52" s="36" t="str">
        <f>+IFERROR(IF(AVERAGEIFS(Consolidado!$DX:$DX,Consolidado!$A:$A,$B52,Consolidado!$EG:$EG,"Gestión")&gt;1,1.00001,AVERAGEIFS(Consolidado!$DX:$DX,Consolidado!$A:$A,$B52,Consolidado!$EG:$EG,"Gestión")),"No aplica")</f>
        <v>No aplica</v>
      </c>
      <c r="F52" s="52"/>
      <c r="G52" s="36"/>
      <c r="H52" s="36"/>
      <c r="I52" s="52"/>
      <c r="J52" s="36"/>
      <c r="K52" s="36"/>
      <c r="L52" s="52"/>
      <c r="M52" s="36"/>
      <c r="N52" s="36"/>
      <c r="O52" s="52">
        <f>+IFERROR(IF(AVERAGEIF(Consolidado!$A:$A,$B52,Consolidado!$EA:$EA)&gt;1,1.00001,AVERAGEIF(Consolidado!$A:$A,$B52,Consolidado!$EA:$EA)),0)</f>
        <v>0</v>
      </c>
      <c r="P52" s="36" t="str">
        <f>+IFERROR(IF(AVERAGEIFS(Consolidado!$EA:$EA,Consolidado!$A:$A,$B52,Consolidado!$EG:$EG,"Producto")&gt;1,1.00001,AVERAGEIFS(Consolidado!$EA:$EA,Consolidado!$A:$A,$B52,Consolidado!$EG:$EG,"Producto")),"No aplica")</f>
        <v>No aplica</v>
      </c>
      <c r="Q52" s="36" t="str">
        <f>+IFERROR(IF(AVERAGEIFS(Consolidado!$EA:$EA,Consolidado!$A:$A,$B52,Consolidado!$EG:$EG,"Gestión")&gt;1,1.00001,AVERAGEIFS(Consolidado!$EA:$EA,Consolidado!$A:$A,$B52,Consolidado!$EG:$EG,"Gestión")),"No aplica")</f>
        <v>No aplica</v>
      </c>
      <c r="R52" s="38"/>
      <c r="S52" s="40"/>
    </row>
    <row r="53" spans="1:19" s="39" customFormat="1" ht="20.100000000000001" customHeight="1" x14ac:dyDescent="0.25">
      <c r="A53" s="33"/>
      <c r="B53" s="51" t="s">
        <v>206</v>
      </c>
      <c r="C53" s="52">
        <f>+IFERROR(IF(AVERAGEIF(Consolidado!$A:$A,$B53,Consolidado!$DX:$DX)&gt;1,1.00001,AVERAGEIF(Consolidado!$A:$A,$B53,Consolidado!$DX:$DX)),0)</f>
        <v>0</v>
      </c>
      <c r="D53" s="36" t="str">
        <f>+IFERROR(IF(AVERAGEIFS(Consolidado!$DX:$DX,Consolidado!$A:$A,$B53,Consolidado!$EG:$EG,"Producto")&gt;1,1.00001,AVERAGEIFS(Consolidado!$DX:$DX,Consolidado!$A:$A,$B53,Consolidado!$EG:$EG,"Producto")),"No aplica")</f>
        <v>No aplica</v>
      </c>
      <c r="E53" s="36" t="str">
        <f>+IFERROR(IF(AVERAGEIFS(Consolidado!$DX:$DX,Consolidado!$A:$A,$B53,Consolidado!$EG:$EG,"Gestión")&gt;1,1.00001,AVERAGEIFS(Consolidado!$DX:$DX,Consolidado!$A:$A,$B53,Consolidado!$EG:$EG,"Gestión")),"No aplica")</f>
        <v>No aplica</v>
      </c>
      <c r="F53" s="52"/>
      <c r="G53" s="36"/>
      <c r="H53" s="36"/>
      <c r="I53" s="52"/>
      <c r="J53" s="36"/>
      <c r="K53" s="36"/>
      <c r="L53" s="52"/>
      <c r="M53" s="36"/>
      <c r="N53" s="36"/>
      <c r="O53" s="52">
        <f>+IFERROR(IF(AVERAGEIF(Consolidado!$A:$A,$B53,Consolidado!$EA:$EA)&gt;1,1.00001,AVERAGEIF(Consolidado!$A:$A,$B53,Consolidado!$EA:$EA)),0)</f>
        <v>0</v>
      </c>
      <c r="P53" s="36" t="str">
        <f>+IFERROR(IF(AVERAGEIFS(Consolidado!$EA:$EA,Consolidado!$A:$A,$B53,Consolidado!$EG:$EG,"Producto")&gt;1,1.00001,AVERAGEIFS(Consolidado!$EA:$EA,Consolidado!$A:$A,$B53,Consolidado!$EG:$EG,"Producto")),"No aplica")</f>
        <v>No aplica</v>
      </c>
      <c r="Q53" s="36" t="str">
        <f>+IFERROR(IF(AVERAGEIFS(Consolidado!$EA:$EA,Consolidado!$A:$A,$B53,Consolidado!$EG:$EG,"Gestión")&gt;1,1.00001,AVERAGEIFS(Consolidado!$EA:$EA,Consolidado!$A:$A,$B53,Consolidado!$EG:$EG,"Gestión")),"No aplica")</f>
        <v>No aplica</v>
      </c>
      <c r="R53" s="38"/>
      <c r="S53" s="40"/>
    </row>
    <row r="54" spans="1:19" s="39" customFormat="1" ht="20.100000000000001" customHeight="1" x14ac:dyDescent="0.25">
      <c r="A54" s="33"/>
      <c r="B54" s="51" t="s">
        <v>35</v>
      </c>
      <c r="C54" s="52">
        <f>+IFERROR(IF(AVERAGEIF(Consolidado!$A:$A,$B54,Consolidado!$DX:$DX)&gt;1,1.00001,AVERAGEIF(Consolidado!$A:$A,$B54,Consolidado!$DX:$DX)),0)</f>
        <v>0</v>
      </c>
      <c r="D54" s="36" t="str">
        <f>+IFERROR(IF(AVERAGEIFS(Consolidado!$DX:$DX,Consolidado!$A:$A,$B54,Consolidado!$EG:$EG,"Producto")&gt;1,1.00001,AVERAGEIFS(Consolidado!$DX:$DX,Consolidado!$A:$A,$B54,Consolidado!$EG:$EG,"Producto")),"No aplica")</f>
        <v>No aplica</v>
      </c>
      <c r="E54" s="36" t="str">
        <f>+IFERROR(IF(AVERAGEIFS(Consolidado!$DX:$DX,Consolidado!$A:$A,$B54,Consolidado!$EG:$EG,"Gestión")&gt;1,1.00001,AVERAGEIFS(Consolidado!$DX:$DX,Consolidado!$A:$A,$B54,Consolidado!$EG:$EG,"Gestión")),"No aplica")</f>
        <v>No aplica</v>
      </c>
      <c r="F54" s="52"/>
      <c r="G54" s="36"/>
      <c r="H54" s="36"/>
      <c r="I54" s="52"/>
      <c r="J54" s="36"/>
      <c r="K54" s="36"/>
      <c r="L54" s="52"/>
      <c r="M54" s="36"/>
      <c r="N54" s="36"/>
      <c r="O54" s="52">
        <f>+IFERROR(IF(AVERAGEIF(Consolidado!$A:$A,$B54,Consolidado!$EA:$EA)&gt;1,1.00001,AVERAGEIF(Consolidado!$A:$A,$B54,Consolidado!$EA:$EA)),0)</f>
        <v>0</v>
      </c>
      <c r="P54" s="36" t="str">
        <f>+IFERROR(IF(AVERAGEIFS(Consolidado!$EA:$EA,Consolidado!$A:$A,$B54,Consolidado!$EG:$EG,"Producto")&gt;1,1.00001,AVERAGEIFS(Consolidado!$EA:$EA,Consolidado!$A:$A,$B54,Consolidado!$EG:$EG,"Producto")),"No aplica")</f>
        <v>No aplica</v>
      </c>
      <c r="Q54" s="36" t="str">
        <f>+IFERROR(IF(AVERAGEIFS(Consolidado!$EA:$EA,Consolidado!$A:$A,$B54,Consolidado!$EG:$EG,"Gestión")&gt;1,1.00001,AVERAGEIFS(Consolidado!$EA:$EA,Consolidado!$A:$A,$B54,Consolidado!$EG:$EG,"Gestión")),"No aplica")</f>
        <v>No aplica</v>
      </c>
      <c r="R54" s="38"/>
      <c r="S54" s="40"/>
    </row>
    <row r="55" spans="1:19" s="39" customFormat="1" ht="20.100000000000001" customHeight="1" x14ac:dyDescent="0.25">
      <c r="A55" s="33"/>
      <c r="B55" s="51" t="s">
        <v>208</v>
      </c>
      <c r="C55" s="52">
        <f>+IFERROR(IF(AVERAGEIF(Consolidado!$A:$A,$B55,Consolidado!$DX:$DX)&gt;1,1.00001,AVERAGEIF(Consolidado!$A:$A,$B55,Consolidado!$DX:$DX)),0)</f>
        <v>0</v>
      </c>
      <c r="D55" s="36" t="str">
        <f>+IFERROR(IF(AVERAGEIFS(Consolidado!$DX:$DX,Consolidado!$A:$A,$B55,Consolidado!$EG:$EG,"Producto")&gt;1,1.00001,AVERAGEIFS(Consolidado!$DX:$DX,Consolidado!$A:$A,$B55,Consolidado!$EG:$EG,"Producto")),"No aplica")</f>
        <v>No aplica</v>
      </c>
      <c r="E55" s="36" t="str">
        <f>+IFERROR(IF(AVERAGEIFS(Consolidado!$DX:$DX,Consolidado!$A:$A,$B55,Consolidado!$EG:$EG,"Gestión")&gt;1,1.00001,AVERAGEIFS(Consolidado!$DX:$DX,Consolidado!$A:$A,$B55,Consolidado!$EG:$EG,"Gestión")),"No aplica")</f>
        <v>No aplica</v>
      </c>
      <c r="F55" s="52"/>
      <c r="G55" s="36"/>
      <c r="H55" s="36"/>
      <c r="I55" s="52"/>
      <c r="J55" s="36"/>
      <c r="K55" s="36"/>
      <c r="L55" s="52"/>
      <c r="M55" s="36"/>
      <c r="N55" s="36"/>
      <c r="O55" s="52">
        <f>+IFERROR(IF(AVERAGEIF(Consolidado!$A:$A,$B55,Consolidado!$EA:$EA)&gt;1,1.00001,AVERAGEIF(Consolidado!$A:$A,$B55,Consolidado!$EA:$EA)),0)</f>
        <v>0</v>
      </c>
      <c r="P55" s="36" t="str">
        <f>+IFERROR(IF(AVERAGEIFS(Consolidado!$EA:$EA,Consolidado!$A:$A,$B55,Consolidado!$EG:$EG,"Producto")&gt;1,1.00001,AVERAGEIFS(Consolidado!$EA:$EA,Consolidado!$A:$A,$B55,Consolidado!$EG:$EG,"Producto")),"No aplica")</f>
        <v>No aplica</v>
      </c>
      <c r="Q55" s="36" t="str">
        <f>+IFERROR(IF(AVERAGEIFS(Consolidado!$EA:$EA,Consolidado!$A:$A,$B55,Consolidado!$EG:$EG,"Gestión")&gt;1,1.00001,AVERAGEIFS(Consolidado!$EA:$EA,Consolidado!$A:$A,$B55,Consolidado!$EG:$EG,"Gestión")),"No aplica")</f>
        <v>No aplica</v>
      </c>
      <c r="R55" s="38"/>
      <c r="S55" s="40"/>
    </row>
    <row r="56" spans="1:19" ht="20.100000000000001" customHeight="1" thickBot="1" x14ac:dyDescent="0.3">
      <c r="B56" s="53" t="s">
        <v>261</v>
      </c>
      <c r="C56" s="54">
        <f t="shared" ref="C56:Q56" si="2">IFERROR(AVERAGE(C50:C55),0%)</f>
        <v>0.16666666666666666</v>
      </c>
      <c r="D56" s="54">
        <f t="shared" si="2"/>
        <v>1</v>
      </c>
      <c r="E56" s="48">
        <f t="shared" si="2"/>
        <v>1</v>
      </c>
      <c r="F56" s="55"/>
      <c r="G56" s="54"/>
      <c r="H56" s="48"/>
      <c r="I56" s="55"/>
      <c r="J56" s="54"/>
      <c r="K56" s="48"/>
      <c r="L56" s="55"/>
      <c r="M56" s="54"/>
      <c r="N56" s="48"/>
      <c r="O56" s="55">
        <f t="shared" si="2"/>
        <v>8.3333333333333329E-2</v>
      </c>
      <c r="P56" s="54">
        <f t="shared" si="2"/>
        <v>0.25</v>
      </c>
      <c r="Q56" s="48">
        <f t="shared" si="2"/>
        <v>1</v>
      </c>
      <c r="R56" s="43"/>
    </row>
    <row r="60" spans="1:19" ht="20.100000000000001" customHeight="1" thickBot="1" x14ac:dyDescent="0.3">
      <c r="C60" s="188" t="s">
        <v>254</v>
      </c>
      <c r="D60" s="188"/>
      <c r="E60" s="188"/>
      <c r="F60" s="188"/>
      <c r="G60" s="188"/>
      <c r="H60" s="188"/>
      <c r="I60" s="188"/>
      <c r="J60" s="188"/>
      <c r="K60" s="188"/>
      <c r="L60" s="188"/>
      <c r="M60" s="188"/>
      <c r="N60" s="188"/>
      <c r="O60" s="188"/>
      <c r="P60" s="188"/>
      <c r="Q60" s="188"/>
    </row>
    <row r="61" spans="1:19" x14ac:dyDescent="0.25">
      <c r="C61" s="189" t="s">
        <v>255</v>
      </c>
      <c r="D61" s="189"/>
      <c r="E61" s="190"/>
      <c r="F61" s="189" t="s">
        <v>256</v>
      </c>
      <c r="G61" s="189"/>
      <c r="H61" s="190"/>
      <c r="I61" s="189" t="s">
        <v>257</v>
      </c>
      <c r="J61" s="189"/>
      <c r="K61" s="190"/>
      <c r="L61" s="189" t="s">
        <v>258</v>
      </c>
      <c r="M61" s="189"/>
      <c r="N61" s="190"/>
      <c r="O61" s="189" t="s">
        <v>259</v>
      </c>
      <c r="P61" s="189"/>
      <c r="Q61" s="190"/>
      <c r="R61" s="27"/>
    </row>
    <row r="62" spans="1:19" ht="75" x14ac:dyDescent="0.25">
      <c r="B62" s="28" t="s">
        <v>260</v>
      </c>
      <c r="C62" s="32" t="s">
        <v>241</v>
      </c>
      <c r="D62" s="30" t="s">
        <v>242</v>
      </c>
      <c r="E62" s="31" t="s">
        <v>243</v>
      </c>
      <c r="F62" s="32" t="s">
        <v>244</v>
      </c>
      <c r="G62" s="30" t="s">
        <v>245</v>
      </c>
      <c r="H62" s="31" t="s">
        <v>246</v>
      </c>
      <c r="I62" s="32" t="s">
        <v>241</v>
      </c>
      <c r="J62" s="30" t="s">
        <v>242</v>
      </c>
      <c r="K62" s="31" t="s">
        <v>243</v>
      </c>
      <c r="L62" s="32" t="s">
        <v>241</v>
      </c>
      <c r="M62" s="30" t="s">
        <v>242</v>
      </c>
      <c r="N62" s="31" t="s">
        <v>243</v>
      </c>
      <c r="O62" s="32" t="s">
        <v>241</v>
      </c>
      <c r="P62" s="30" t="s">
        <v>242</v>
      </c>
      <c r="Q62" s="31" t="s">
        <v>243</v>
      </c>
      <c r="R62" s="27"/>
    </row>
    <row r="63" spans="1:19" x14ac:dyDescent="0.25">
      <c r="B63" s="56" t="s">
        <v>40</v>
      </c>
      <c r="C63" s="52">
        <f>+IFERROR(IF(AVERAGEIF(Consolidado!$A:$A,B63,Consolidado!$DY:$DY)&gt;1,1.00001,AVERAGEIF(Consolidado!$A:$A,B63,Consolidado!$DY:$DY)),0)</f>
        <v>0</v>
      </c>
      <c r="D63" s="36" t="str">
        <f>+IFERROR(IF(AVERAGEIFS(Consolidado!$DY:$DY,Consolidado!$A:$A,B63,Consolidado!$EG:$EG,"Producto")&gt;1,1.00001,AVERAGEIFS(Consolidado!$DY:$DY,Consolidado!$A:$A,B63,Consolidado!$EG:$EG,"Producto")),"No aplica")</f>
        <v>No aplica</v>
      </c>
      <c r="E63" s="36" t="str">
        <f>+IFERROR(IF(AVERAGEIFS(Consolidado!$DY:$DY,Consolidado!$A:$A,B63,Consolidado!$EG:$EG,"Gestión")&gt;1,1.00001,AVERAGEIFS(Consolidado!$DY:$DY,Consolidado!$A:$A,B63,Consolidado!$EG:$EG,"Gestión")),"No aplica")</f>
        <v>No aplica</v>
      </c>
      <c r="F63" s="52">
        <f>+IFERROR(IF(AVERAGEIF(Consolidado!$A:$A,B63,Consolidado!$DZ:$DZ)&gt;1,1.00001,AVERAGEIF(Consolidado!$A:$A,B63,Consolidado!$DZ:$DZ)),0)</f>
        <v>0</v>
      </c>
      <c r="G63" s="36" t="str">
        <f>+IFERROR(IF(AVERAGEIFS(Consolidado!$DZ:$DZ,Consolidado!$A:$A,B63,Consolidado!$EG:$EG,"Producto")&gt;1,1.00001,AVERAGEIFS(Consolidado!$DZ:$DZ,Consolidado!$A:$A,B63,Consolidado!$EG:$EG,"Producto")),"No aplica")</f>
        <v>No aplica</v>
      </c>
      <c r="H63" s="36" t="str">
        <f>+IFERROR(IF(AVERAGEIFS(Consolidado!$DZ:$DZ,Consolidado!$A:$A,B63,Consolidado!$EG:$EG,"Gestión")&gt;1,1.00001,AVERAGEIFS(Consolidado!$DZ:$DZ,Consolidado!$A:$A,B63,Consolidado!$EG:$EG,"Gestión")),"No aplica")</f>
        <v>No aplica</v>
      </c>
      <c r="I63" s="52">
        <f>+IFERROR(IF(AVERAGEIF(Consolidado!$A:$A,B63,Consolidado!$EA:$EA)&gt;1,1.00001,AVERAGEIF(Consolidado!$A:$A,B63,Consolidado!$EA:$EA)),0)</f>
        <v>0</v>
      </c>
      <c r="J63" s="36" t="str">
        <f>+IFERROR(IF(AVERAGEIFS(Consolidado!$EA:$EA,Consolidado!$A:$A,B63,Consolidado!$EG:$EG,"Producto")&gt;1,1.00001,AVERAGEIFS(Consolidado!$EA:$EA,Consolidado!$A:$A,B63,Consolidado!$EG:$EG,"Producto")),"No aplica")</f>
        <v>No aplica</v>
      </c>
      <c r="K63" s="36" t="str">
        <f>+IFERROR(IF(AVERAGEIFS(Consolidado!$EA:$EA,Consolidado!$A:$A,B63,Consolidado!$EG:$EG,"Gestión")&gt;1,1.00001,AVERAGEIFS(Consolidado!$EA:$EA,Consolidado!$A:$A,B63,Consolidado!$EG:$EG,"Gestión")),"No aplica")</f>
        <v>No aplica</v>
      </c>
      <c r="L63" s="52"/>
      <c r="M63" s="36"/>
      <c r="N63" s="36"/>
      <c r="O63" s="52">
        <f>+IFERROR(IF(AVERAGEIF(Consolidado!$A:$A,B63,Consolidado!$EC:$EC)&gt;1,1.00001,AVERAGEIF(Consolidado!$A:$A,B63,Consolidado!$EC:$EC)),0)</f>
        <v>0</v>
      </c>
      <c r="P63" s="36" t="str">
        <f>+IFERROR(IF(AVERAGEIFS(Consolidado!$EC:$EC,Consolidado!$A:$A,B63,Consolidado!$EG:$EG,"Producto")&gt;1,1.00001,AVERAGEIFS(Consolidado!$EC:$EC,Consolidado!$A:$A,B63,Consolidado!$EG:$EG,"Producto")),"No aplica")</f>
        <v>No aplica</v>
      </c>
      <c r="Q63" s="37" t="str">
        <f>+IFERROR(IF(AVERAGEIFS(Consolidado!$EC:$EC,Consolidado!$A:$A,B63,Consolidado!$EG:$EG,"Gestión")&gt;1,1.00001,AVERAGEIFS(Consolidado!$EC:$EC,Consolidado!$A:$A,B63,Consolidado!$EG:$EG,"Gestión")),"No aplica")</f>
        <v>No aplica</v>
      </c>
      <c r="R63" s="38"/>
    </row>
    <row r="64" spans="1:19" x14ac:dyDescent="0.25">
      <c r="B64" s="56" t="s">
        <v>41</v>
      </c>
      <c r="C64" s="52">
        <f>+IFERROR(IF(AVERAGEIF(Consolidado!$A:$A,B64,Consolidado!$DY:$DY)&gt;1,1.00001,AVERAGEIF(Consolidado!$A:$A,B64,Consolidado!$DY:$DY)),0)</f>
        <v>1</v>
      </c>
      <c r="D64" s="36">
        <f>+IFERROR(IF(AVERAGEIFS(Consolidado!$DY:$DY,Consolidado!$A:$A,B64,Consolidado!$EG:$EG,"Producto")&gt;1,1.00001,AVERAGEIFS(Consolidado!$DY:$DY,Consolidado!$A:$A,B64,Consolidado!$EG:$EG,"Producto")),"No aplica")</f>
        <v>1</v>
      </c>
      <c r="E64" s="36">
        <f>+IFERROR(IF(AVERAGEIFS(Consolidado!$DY:$DY,Consolidado!$A:$A,B64,Consolidado!$EG:$EG,"Gestión")&gt;1,1.00001,AVERAGEIFS(Consolidado!$DY:$DY,Consolidado!$A:$A,B64,Consolidado!$EG:$EG,"Gestión")),"No aplica")</f>
        <v>1</v>
      </c>
      <c r="F64" s="52">
        <f>+IFERROR(IF(AVERAGEIF(Consolidado!$A:$A,B64,Consolidado!$DZ:$DZ)&gt;1,1.00001,AVERAGEIF(Consolidado!$A:$A,B64,Consolidado!$DZ:$DZ)),0)</f>
        <v>0.80000400000000005</v>
      </c>
      <c r="G64" s="36">
        <f>+IFERROR(IF(AVERAGEIFS(Consolidado!$DZ:$DZ,Consolidado!$A:$A,B64,Consolidado!$EG:$EG,"Producto")&gt;1,1.00001,AVERAGEIFS(Consolidado!$DZ:$DZ,Consolidado!$A:$A,B64,Consolidado!$EG:$EG,"Producto")),"No aplica")</f>
        <v>0.66667333333333334</v>
      </c>
      <c r="H64" s="36">
        <f>+IFERROR(IF(AVERAGEIFS(Consolidado!$DZ:$DZ,Consolidado!$A:$A,B64,Consolidado!$EG:$EG,"Gestión")&gt;1,1.00001,AVERAGEIFS(Consolidado!$DZ:$DZ,Consolidado!$A:$A,B64,Consolidado!$EG:$EG,"Gestión")),"No aplica")</f>
        <v>1</v>
      </c>
      <c r="I64" s="52">
        <f>+IFERROR(IF(AVERAGEIF(Consolidado!$A:$A,B64,Consolidado!$EA:$EA)&gt;1,1.00001,AVERAGEIF(Consolidado!$A:$A,B64,Consolidado!$EA:$EA)),0)</f>
        <v>0.5</v>
      </c>
      <c r="J64" s="36">
        <f>+IFERROR(IF(AVERAGEIFS(Consolidado!$EA:$EA,Consolidado!$A:$A,B64,Consolidado!$EG:$EG,"Producto")&gt;1,1.00001,AVERAGEIFS(Consolidado!$EA:$EA,Consolidado!$A:$A,B64,Consolidado!$EG:$EG,"Producto")),"No aplica")</f>
        <v>0.25</v>
      </c>
      <c r="K64" s="36">
        <f>+IFERROR(IF(AVERAGEIFS(Consolidado!$EA:$EA,Consolidado!$A:$A,B64,Consolidado!$EG:$EG,"Gestión")&gt;1,1.00001,AVERAGEIFS(Consolidado!$EA:$EA,Consolidado!$A:$A,B64,Consolidado!$EG:$EG,"Gestión")),"No aplica")</f>
        <v>1</v>
      </c>
      <c r="L64" s="52"/>
      <c r="M64" s="36"/>
      <c r="N64" s="36"/>
      <c r="O64" s="52">
        <f>+IFERROR(IF(AVERAGEIF(Consolidado!$A:$A,B64,Consolidado!$EC:$EC)&gt;1,1.00001,AVERAGEIF(Consolidado!$A:$A,B64,Consolidado!$EC:$EC)),0)</f>
        <v>0.81506576923076912</v>
      </c>
      <c r="P64" s="36">
        <f>+IFERROR(IF(AVERAGEIFS(Consolidado!$EC:$EC,Consolidado!$A:$A,B64,Consolidado!$EG:$EG,"Producto")&gt;1,1.00001,AVERAGEIFS(Consolidado!$EC:$EC,Consolidado!$A:$A,B64,Consolidado!$EG:$EG,"Producto")),"No aplica")</f>
        <v>0.72259865384615385</v>
      </c>
      <c r="Q64" s="37">
        <f>+IFERROR(IF(AVERAGEIFS(Consolidado!$EC:$EC,Consolidado!$A:$A,B64,Consolidado!$EG:$EG,"Gestión")&gt;1,1.00001,AVERAGEIFS(Consolidado!$EC:$EC,Consolidado!$A:$A,B64,Consolidado!$EG:$EG,"Gestión")),"No aplica")</f>
        <v>1</v>
      </c>
      <c r="R64" s="38"/>
    </row>
    <row r="65" spans="2:18" x14ac:dyDescent="0.25">
      <c r="B65" s="56" t="s">
        <v>207</v>
      </c>
      <c r="C65" s="52">
        <f>+IFERROR(IF(AVERAGEIF(Consolidado!$A:$A,B65,Consolidado!$DY:$DY)&gt;1,1.00001,AVERAGEIF(Consolidado!$A:$A,B65,Consolidado!$DY:$DY)),0)</f>
        <v>0</v>
      </c>
      <c r="D65" s="36" t="str">
        <f>+IFERROR(IF(AVERAGEIFS(Consolidado!$DY:$DY,Consolidado!$A:$A,B65,Consolidado!$EG:$EG,"Producto")&gt;1,1.00001,AVERAGEIFS(Consolidado!$DY:$DY,Consolidado!$A:$A,B65,Consolidado!$EG:$EG,"Producto")),"No aplica")</f>
        <v>No aplica</v>
      </c>
      <c r="E65" s="36" t="str">
        <f>+IFERROR(IF(AVERAGEIFS(Consolidado!$DY:$DY,Consolidado!$A:$A,B65,Consolidado!$EG:$EG,"Gestión")&gt;1,1.00001,AVERAGEIFS(Consolidado!$DY:$DY,Consolidado!$A:$A,B65,Consolidado!$EG:$EG,"Gestión")),"No aplica")</f>
        <v>No aplica</v>
      </c>
      <c r="F65" s="52">
        <f>+IFERROR(IF(AVERAGEIF(Consolidado!$A:$A,B65,Consolidado!$DZ:$DZ)&gt;1,1.00001,AVERAGEIF(Consolidado!$A:$A,B65,Consolidado!$DZ:$DZ)),0)</f>
        <v>0</v>
      </c>
      <c r="G65" s="36" t="str">
        <f>+IFERROR(IF(AVERAGEIFS(Consolidado!$DZ:$DZ,Consolidado!$A:$A,B65,Consolidado!$EG:$EG,"Producto")&gt;1,1.00001,AVERAGEIFS(Consolidado!$DZ:$DZ,Consolidado!$A:$A,B65,Consolidado!$EG:$EG,"Producto")),"No aplica")</f>
        <v>No aplica</v>
      </c>
      <c r="H65" s="36" t="str">
        <f>+IFERROR(IF(AVERAGEIFS(Consolidado!$DZ:$DZ,Consolidado!$A:$A,B65,Consolidado!$EG:$EG,"Gestión")&gt;1,1.00001,AVERAGEIFS(Consolidado!$DZ:$DZ,Consolidado!$A:$A,B65,Consolidado!$EG:$EG,"Gestión")),"No aplica")</f>
        <v>No aplica</v>
      </c>
      <c r="I65" s="52">
        <f>+IFERROR(IF(AVERAGEIF(Consolidado!$A:$A,B65,Consolidado!$EA:$EA)&gt;1,1.00001,AVERAGEIF(Consolidado!$A:$A,B65,Consolidado!$EA:$EA)),0)</f>
        <v>0</v>
      </c>
      <c r="J65" s="36" t="str">
        <f>+IFERROR(IF(AVERAGEIFS(Consolidado!$EA:$EA,Consolidado!$A:$A,B65,Consolidado!$EG:$EG,"Producto")&gt;1,1.00001,AVERAGEIFS(Consolidado!$EA:$EA,Consolidado!$A:$A,B65,Consolidado!$EG:$EG,"Producto")),"No aplica")</f>
        <v>No aplica</v>
      </c>
      <c r="K65" s="36" t="str">
        <f>+IFERROR(IF(AVERAGEIFS(Consolidado!$EA:$EA,Consolidado!$A:$A,B65,Consolidado!$EG:$EG,"Gestión")&gt;1,1.00001,AVERAGEIFS(Consolidado!$EA:$EA,Consolidado!$A:$A,B65,Consolidado!$EG:$EG,"Gestión")),"No aplica")</f>
        <v>No aplica</v>
      </c>
      <c r="L65" s="52"/>
      <c r="M65" s="36"/>
      <c r="N65" s="36"/>
      <c r="O65" s="52">
        <f>+IFERROR(IF(AVERAGEIF(Consolidado!$A:$A,B65,Consolidado!$EC:$EC)&gt;1,1.00001,AVERAGEIF(Consolidado!$A:$A,B65,Consolidado!$EC:$EC)),0)</f>
        <v>0</v>
      </c>
      <c r="P65" s="36" t="str">
        <f>+IFERROR(IF(AVERAGEIFS(Consolidado!$EC:$EC,Consolidado!$A:$A,B65,Consolidado!$EG:$EG,"Producto")&gt;1,1.00001,AVERAGEIFS(Consolidado!$EC:$EC,Consolidado!$A:$A,B65,Consolidado!$EG:$EG,"Producto")),"No aplica")</f>
        <v>No aplica</v>
      </c>
      <c r="Q65" s="37" t="str">
        <f>+IFERROR(IF(AVERAGEIFS(Consolidado!$EC:$EC,Consolidado!$A:$A,B65,Consolidado!$EG:$EG,"Gestión")&gt;1,1.00001,AVERAGEIFS(Consolidado!$EC:$EC,Consolidado!$A:$A,B65,Consolidado!$EG:$EG,"Gestión")),"No aplica")</f>
        <v>No aplica</v>
      </c>
      <c r="R65" s="38"/>
    </row>
    <row r="66" spans="2:18" x14ac:dyDescent="0.25">
      <c r="B66" s="56" t="s">
        <v>206</v>
      </c>
      <c r="C66" s="52">
        <f>+IFERROR(IF(AVERAGEIF(Consolidado!$A:$A,B66,Consolidado!$DY:$DY)&gt;1,1.00001,AVERAGEIF(Consolidado!$A:$A,B66,Consolidado!$DY:$DY)),0)</f>
        <v>0</v>
      </c>
      <c r="D66" s="36" t="str">
        <f>+IFERROR(IF(AVERAGEIFS(Consolidado!$DY:$DY,Consolidado!$A:$A,B66,Consolidado!$EG:$EG,"Producto")&gt;1,1.00001,AVERAGEIFS(Consolidado!$DY:$DY,Consolidado!$A:$A,B66,Consolidado!$EG:$EG,"Producto")),"No aplica")</f>
        <v>No aplica</v>
      </c>
      <c r="E66" s="36" t="str">
        <f>+IFERROR(IF(AVERAGEIFS(Consolidado!$DY:$DY,Consolidado!$A:$A,B66,Consolidado!$EG:$EG,"Gestión")&gt;1,1.00001,AVERAGEIFS(Consolidado!$DY:$DY,Consolidado!$A:$A,B66,Consolidado!$EG:$EG,"Gestión")),"No aplica")</f>
        <v>No aplica</v>
      </c>
      <c r="F66" s="52">
        <f>+IFERROR(IF(AVERAGEIF(Consolidado!$A:$A,B66,Consolidado!$DZ:$DZ)&gt;1,1.00001,AVERAGEIF(Consolidado!$A:$A,B66,Consolidado!$DZ:$DZ)),0)</f>
        <v>0</v>
      </c>
      <c r="G66" s="36" t="str">
        <f>+IFERROR(IF(AVERAGEIFS(Consolidado!$DZ:$DZ,Consolidado!$A:$A,B66,Consolidado!$EG:$EG,"Producto")&gt;1,1.00001,AVERAGEIFS(Consolidado!$DZ:$DZ,Consolidado!$A:$A,B66,Consolidado!$EG:$EG,"Producto")),"No aplica")</f>
        <v>No aplica</v>
      </c>
      <c r="H66" s="36" t="str">
        <f>+IFERROR(IF(AVERAGEIFS(Consolidado!$DZ:$DZ,Consolidado!$A:$A,B66,Consolidado!$EG:$EG,"Gestión")&gt;1,1.00001,AVERAGEIFS(Consolidado!$DZ:$DZ,Consolidado!$A:$A,B66,Consolidado!$EG:$EG,"Gestión")),"No aplica")</f>
        <v>No aplica</v>
      </c>
      <c r="I66" s="52">
        <f>+IFERROR(IF(AVERAGEIF(Consolidado!$A:$A,B66,Consolidado!$EA:$EA)&gt;1,1.00001,AVERAGEIF(Consolidado!$A:$A,B66,Consolidado!$EA:$EA)),0)</f>
        <v>0</v>
      </c>
      <c r="J66" s="36" t="str">
        <f>+IFERROR(IF(AVERAGEIFS(Consolidado!$EA:$EA,Consolidado!$A:$A,B66,Consolidado!$EG:$EG,"Producto")&gt;1,1.00001,AVERAGEIFS(Consolidado!$EA:$EA,Consolidado!$A:$A,B66,Consolidado!$EG:$EG,"Producto")),"No aplica")</f>
        <v>No aplica</v>
      </c>
      <c r="K66" s="36" t="str">
        <f>+IFERROR(IF(AVERAGEIFS(Consolidado!$EA:$EA,Consolidado!$A:$A,B66,Consolidado!$EG:$EG,"Gestión")&gt;1,1.00001,AVERAGEIFS(Consolidado!$EA:$EA,Consolidado!$A:$A,B66,Consolidado!$EG:$EG,"Gestión")),"No aplica")</f>
        <v>No aplica</v>
      </c>
      <c r="L66" s="52"/>
      <c r="M66" s="36"/>
      <c r="N66" s="36"/>
      <c r="O66" s="52">
        <f>+IFERROR(IF(AVERAGEIF(Consolidado!$A:$A,B66,Consolidado!$EC:$EC)&gt;1,1.00001,AVERAGEIF(Consolidado!$A:$A,B66,Consolidado!$EC:$EC)),0)</f>
        <v>0</v>
      </c>
      <c r="P66" s="36" t="str">
        <f>+IFERROR(IF(AVERAGEIFS(Consolidado!$EC:$EC,Consolidado!$A:$A,B66,Consolidado!$EG:$EG,"Producto")&gt;1,1.00001,AVERAGEIFS(Consolidado!$EC:$EC,Consolidado!$A:$A,B66,Consolidado!$EG:$EG,"Producto")),"No aplica")</f>
        <v>No aplica</v>
      </c>
      <c r="Q66" s="37" t="str">
        <f>+IFERROR(IF(AVERAGEIFS(Consolidado!$EC:$EC,Consolidado!$A:$A,B66,Consolidado!$EG:$EG,"Gestión")&gt;1,1.00001,AVERAGEIFS(Consolidado!$EC:$EC,Consolidado!$A:$A,B66,Consolidado!$EG:$EG,"Gestión")),"No aplica")</f>
        <v>No aplica</v>
      </c>
      <c r="R66" s="38"/>
    </row>
    <row r="67" spans="2:18" x14ac:dyDescent="0.25">
      <c r="B67" s="56" t="s">
        <v>35</v>
      </c>
      <c r="C67" s="52">
        <f>+IFERROR(IF(AVERAGEIF(Consolidado!$A:$A,B67,Consolidado!$DY:$DY)&gt;1,1.00001,AVERAGEIF(Consolidado!$A:$A,B67,Consolidado!$DY:$DY)),0)</f>
        <v>0</v>
      </c>
      <c r="D67" s="36" t="str">
        <f>+IFERROR(IF(AVERAGEIFS(Consolidado!$DY:$DY,Consolidado!$A:$A,B67,Consolidado!$EG:$EG,"Producto")&gt;1,1.00001,AVERAGEIFS(Consolidado!$DY:$DY,Consolidado!$A:$A,B67,Consolidado!$EG:$EG,"Producto")),"No aplica")</f>
        <v>No aplica</v>
      </c>
      <c r="E67" s="36" t="str">
        <f>+IFERROR(IF(AVERAGEIFS(Consolidado!$DY:$DY,Consolidado!$A:$A,B67,Consolidado!$EG:$EG,"Gestión")&gt;1,1.00001,AVERAGEIFS(Consolidado!$DY:$DY,Consolidado!$A:$A,B67,Consolidado!$EG:$EG,"Gestión")),"No aplica")</f>
        <v>No aplica</v>
      </c>
      <c r="F67" s="52">
        <f>+IFERROR(IF(AVERAGEIF(Consolidado!$A:$A,B67,Consolidado!$DZ:$DZ)&gt;1,1.00001,AVERAGEIF(Consolidado!$A:$A,B67,Consolidado!$DZ:$DZ)),0)</f>
        <v>0</v>
      </c>
      <c r="G67" s="36" t="str">
        <f>+IFERROR(IF(AVERAGEIFS(Consolidado!$DZ:$DZ,Consolidado!$A:$A,B67,Consolidado!$EG:$EG,"Producto")&gt;1,1.00001,AVERAGEIFS(Consolidado!$DZ:$DZ,Consolidado!$A:$A,B67,Consolidado!$EG:$EG,"Producto")),"No aplica")</f>
        <v>No aplica</v>
      </c>
      <c r="H67" s="36" t="str">
        <f>+IFERROR(IF(AVERAGEIFS(Consolidado!$DZ:$DZ,Consolidado!$A:$A,B67,Consolidado!$EG:$EG,"Gestión")&gt;1,1.00001,AVERAGEIFS(Consolidado!$DZ:$DZ,Consolidado!$A:$A,B67,Consolidado!$EG:$EG,"Gestión")),"No aplica")</f>
        <v>No aplica</v>
      </c>
      <c r="I67" s="52">
        <f>+IFERROR(IF(AVERAGEIF(Consolidado!$A:$A,B67,Consolidado!$EA:$EA)&gt;1,1.00001,AVERAGEIF(Consolidado!$A:$A,B67,Consolidado!$EA:$EA)),0)</f>
        <v>0</v>
      </c>
      <c r="J67" s="36" t="str">
        <f>+IFERROR(IF(AVERAGEIFS(Consolidado!$EA:$EA,Consolidado!$A:$A,B67,Consolidado!$EG:$EG,"Producto")&gt;1,1.00001,AVERAGEIFS(Consolidado!$EA:$EA,Consolidado!$A:$A,B67,Consolidado!$EG:$EG,"Producto")),"No aplica")</f>
        <v>No aplica</v>
      </c>
      <c r="K67" s="36" t="str">
        <f>+IFERROR(IF(AVERAGEIFS(Consolidado!$EA:$EA,Consolidado!$A:$A,B67,Consolidado!$EG:$EG,"Gestión")&gt;1,1.00001,AVERAGEIFS(Consolidado!$EA:$EA,Consolidado!$A:$A,B67,Consolidado!$EG:$EG,"Gestión")),"No aplica")</f>
        <v>No aplica</v>
      </c>
      <c r="L67" s="52"/>
      <c r="M67" s="36"/>
      <c r="N67" s="36"/>
      <c r="O67" s="52">
        <f>+IFERROR(IF(AVERAGEIF(Consolidado!$A:$A,B67,Consolidado!$EC:$EC)&gt;1,1.00001,AVERAGEIF(Consolidado!$A:$A,B67,Consolidado!$EC:$EC)),0)</f>
        <v>0</v>
      </c>
      <c r="P67" s="36" t="str">
        <f>+IFERROR(IF(AVERAGEIFS(Consolidado!$EC:$EC,Consolidado!$A:$A,B67,Consolidado!$EG:$EG,"Producto")&gt;1,1.00001,AVERAGEIFS(Consolidado!$EC:$EC,Consolidado!$A:$A,B67,Consolidado!$EG:$EG,"Producto")),"No aplica")</f>
        <v>No aplica</v>
      </c>
      <c r="Q67" s="37" t="str">
        <f>+IFERROR(IF(AVERAGEIFS(Consolidado!$EC:$EC,Consolidado!$A:$A,B67,Consolidado!$EG:$EG,"Gestión")&gt;1,1.00001,AVERAGEIFS(Consolidado!$EC:$EC,Consolidado!$A:$A,B67,Consolidado!$EG:$EG,"Gestión")),"No aplica")</f>
        <v>No aplica</v>
      </c>
      <c r="R67" s="38"/>
    </row>
    <row r="68" spans="2:18" x14ac:dyDescent="0.25">
      <c r="B68" s="56" t="s">
        <v>208</v>
      </c>
      <c r="C68" s="52">
        <f>+IFERROR(IF(AVERAGEIF(Consolidado!$A:$A,B68,Consolidado!$DY:$DY)&gt;1,1.00001,AVERAGEIF(Consolidado!$A:$A,B68,Consolidado!$DY:$DY)),0)</f>
        <v>0</v>
      </c>
      <c r="D68" s="36" t="str">
        <f>+IFERROR(IF(AVERAGEIFS(Consolidado!$DY:$DY,Consolidado!$A:$A,B68,Consolidado!$EG:$EG,"Producto")&gt;1,1.00001,AVERAGEIFS(Consolidado!$DY:$DY,Consolidado!$A:$A,B68,Consolidado!$EG:$EG,"Producto")),"No aplica")</f>
        <v>No aplica</v>
      </c>
      <c r="E68" s="36" t="str">
        <f>+IFERROR(IF(AVERAGEIFS(Consolidado!$DY:$DY,Consolidado!$A:$A,B68,Consolidado!$EG:$EG,"Gestión")&gt;1,1.00001,AVERAGEIFS(Consolidado!$DY:$DY,Consolidado!$A:$A,B68,Consolidado!$EG:$EG,"Gestión")),"No aplica")</f>
        <v>No aplica</v>
      </c>
      <c r="F68" s="52">
        <f>+IFERROR(IF(AVERAGEIF(Consolidado!$A:$A,B68,Consolidado!$DZ:$DZ)&gt;1,1.00001,AVERAGEIF(Consolidado!$A:$A,B68,Consolidado!$DZ:$DZ)),0)</f>
        <v>0</v>
      </c>
      <c r="G68" s="36" t="str">
        <f>+IFERROR(IF(AVERAGEIFS(Consolidado!$DZ:$DZ,Consolidado!$A:$A,B68,Consolidado!$EG:$EG,"Producto")&gt;1,1.00001,AVERAGEIFS(Consolidado!$DZ:$DZ,Consolidado!$A:$A,B68,Consolidado!$EG:$EG,"Producto")),"No aplica")</f>
        <v>No aplica</v>
      </c>
      <c r="H68" s="36" t="str">
        <f>+IFERROR(IF(AVERAGEIFS(Consolidado!$DZ:$DZ,Consolidado!$A:$A,B68,Consolidado!$EG:$EG,"Gestión")&gt;1,1.00001,AVERAGEIFS(Consolidado!$DZ:$DZ,Consolidado!$A:$A,B68,Consolidado!$EG:$EG,"Gestión")),"No aplica")</f>
        <v>No aplica</v>
      </c>
      <c r="I68" s="52">
        <f>+IFERROR(IF(AVERAGEIF(Consolidado!$A:$A,B68,Consolidado!$EA:$EA)&gt;1,1.00001,AVERAGEIF(Consolidado!$A:$A,B68,Consolidado!$EA:$EA)),0)</f>
        <v>0</v>
      </c>
      <c r="J68" s="36" t="str">
        <f>+IFERROR(IF(AVERAGEIFS(Consolidado!$EA:$EA,Consolidado!$A:$A,B68,Consolidado!$EG:$EG,"Producto")&gt;1,1.00001,AVERAGEIFS(Consolidado!$EA:$EA,Consolidado!$A:$A,B68,Consolidado!$EG:$EG,"Producto")),"No aplica")</f>
        <v>No aplica</v>
      </c>
      <c r="K68" s="36" t="str">
        <f>+IFERROR(IF(AVERAGEIFS(Consolidado!$EA:$EA,Consolidado!$A:$A,B68,Consolidado!$EG:$EG,"Gestión")&gt;1,1.00001,AVERAGEIFS(Consolidado!$EA:$EA,Consolidado!$A:$A,B68,Consolidado!$EG:$EG,"Gestión")),"No aplica")</f>
        <v>No aplica</v>
      </c>
      <c r="L68" s="52"/>
      <c r="M68" s="36"/>
      <c r="N68" s="36"/>
      <c r="O68" s="52">
        <f>+IFERROR(IF(AVERAGEIF(Consolidado!$A:$A,B68,Consolidado!$EC:$EC)&gt;1,1.00001,AVERAGEIF(Consolidado!$A:$A,B68,Consolidado!$EC:$EC)),0)</f>
        <v>0</v>
      </c>
      <c r="P68" s="36" t="str">
        <f>+IFERROR(IF(AVERAGEIFS(Consolidado!$EC:$EC,Consolidado!$A:$A,B68,Consolidado!$EG:$EG,"Producto")&gt;1,1.00001,AVERAGEIFS(Consolidado!$EC:$EC,Consolidado!$A:$A,B68,Consolidado!$EG:$EG,"Producto")),"No aplica")</f>
        <v>No aplica</v>
      </c>
      <c r="Q68" s="37" t="str">
        <f>+IFERROR(IF(AVERAGEIFS(Consolidado!$EC:$EC,Consolidado!$A:$A,B68,Consolidado!$EG:$EG,"Gestión")&gt;1,1.00001,AVERAGEIFS(Consolidado!$EC:$EC,Consolidado!$A:$A,B68,Consolidado!$EG:$EG,"Gestión")),"No aplica")</f>
        <v>No aplica</v>
      </c>
      <c r="R68" s="38"/>
    </row>
    <row r="69" spans="2:18" ht="19.5" thickBot="1" x14ac:dyDescent="0.3">
      <c r="B69" s="57" t="s">
        <v>261</v>
      </c>
      <c r="C69" s="54">
        <v>1</v>
      </c>
      <c r="D69" s="54">
        <f>IFERROR(AVERAGE(D63:D68),0%)</f>
        <v>1</v>
      </c>
      <c r="E69" s="54">
        <f t="shared" ref="E69:Q69" si="3">IFERROR(AVERAGE(E63:E68),0%)</f>
        <v>1</v>
      </c>
      <c r="F69" s="54">
        <f t="shared" si="3"/>
        <v>0.13333400000000001</v>
      </c>
      <c r="G69" s="54">
        <f t="shared" si="3"/>
        <v>0.66667333333333334</v>
      </c>
      <c r="H69" s="54">
        <f t="shared" si="3"/>
        <v>1</v>
      </c>
      <c r="I69" s="54">
        <f t="shared" si="3"/>
        <v>8.3333333333333329E-2</v>
      </c>
      <c r="J69" s="54">
        <f t="shared" si="3"/>
        <v>0.25</v>
      </c>
      <c r="K69" s="54">
        <f t="shared" si="3"/>
        <v>1</v>
      </c>
      <c r="L69" s="54"/>
      <c r="M69" s="54"/>
      <c r="N69" s="54"/>
      <c r="O69" s="54">
        <f t="shared" si="3"/>
        <v>0.13584429487179486</v>
      </c>
      <c r="P69" s="54">
        <f t="shared" si="3"/>
        <v>0.72259865384615385</v>
      </c>
      <c r="Q69" s="54">
        <f t="shared" si="3"/>
        <v>1</v>
      </c>
      <c r="R69" s="43"/>
    </row>
  </sheetData>
  <sheetProtection formatRows="0" autoFilter="0"/>
  <mergeCells count="46">
    <mergeCell ref="C60:Q60"/>
    <mergeCell ref="C61:E61"/>
    <mergeCell ref="F61:H61"/>
    <mergeCell ref="I61:K61"/>
    <mergeCell ref="L61:N61"/>
    <mergeCell ref="O61:Q61"/>
    <mergeCell ref="C47:N47"/>
    <mergeCell ref="O47:Q47"/>
    <mergeCell ref="C48:E48"/>
    <mergeCell ref="F48:H48"/>
    <mergeCell ref="I48:K48"/>
    <mergeCell ref="L48:N48"/>
    <mergeCell ref="O48:Q48"/>
    <mergeCell ref="C23:N23"/>
    <mergeCell ref="O24:Q24"/>
    <mergeCell ref="C35:Q35"/>
    <mergeCell ref="C36:E36"/>
    <mergeCell ref="F36:H36"/>
    <mergeCell ref="I36:K36"/>
    <mergeCell ref="L36:N36"/>
    <mergeCell ref="O36:Q36"/>
    <mergeCell ref="C24:E24"/>
    <mergeCell ref="F24:H24"/>
    <mergeCell ref="I24:K24"/>
    <mergeCell ref="L24:N24"/>
    <mergeCell ref="M5:O6"/>
    <mergeCell ref="B16:E16"/>
    <mergeCell ref="B17:E17"/>
    <mergeCell ref="B18:E18"/>
    <mergeCell ref="B19:E19"/>
    <mergeCell ref="P5:Q6"/>
    <mergeCell ref="B15:E15"/>
    <mergeCell ref="N15:O15"/>
    <mergeCell ref="A1:C6"/>
    <mergeCell ref="D1:G3"/>
    <mergeCell ref="H1:L3"/>
    <mergeCell ref="M1:O2"/>
    <mergeCell ref="B9:Q9"/>
    <mergeCell ref="B11:P11"/>
    <mergeCell ref="B12:P12"/>
    <mergeCell ref="B13:P13"/>
    <mergeCell ref="P1:Q2"/>
    <mergeCell ref="M3:O4"/>
    <mergeCell ref="P3:Q4"/>
    <mergeCell ref="D4:G6"/>
    <mergeCell ref="H4:L6"/>
  </mergeCells>
  <printOptions horizontalCentered="1" verticalCentered="1"/>
  <pageMargins left="0.70866141732283472" right="0.70866141732283472" top="0.74803149606299213" bottom="0.74803149606299213" header="0.31496062992125984" footer="0.31496062992125984"/>
  <pageSetup paperSize="9" scale="73" orientation="portrait" r:id="rId1"/>
  <rowBreaks count="1" manualBreakCount="1">
    <brk id="54" max="6" man="1"/>
  </rowBreaks>
  <drawing r:id="rId2"/>
  <extLst>
    <ext xmlns:x14="http://schemas.microsoft.com/office/spreadsheetml/2009/9/main" uri="{78C0D931-6437-407d-A8EE-F0AAD7539E65}">
      <x14:conditionalFormattings>
        <x14:conditionalFormatting xmlns:xm="http://schemas.microsoft.com/office/excel/2006/main">
          <x14:cfRule type="iconSet" priority="112" id="{A7512961-D745-4086-979C-B53CB48F1278}">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C26:C31</xm:sqref>
        </x14:conditionalFormatting>
        <x14:conditionalFormatting xmlns:xm="http://schemas.microsoft.com/office/excel/2006/main">
          <x14:cfRule type="iconSet" priority="107" id="{357F4123-775C-418F-AFBB-BBB16C0367AE}">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C38:C43</xm:sqref>
        </x14:conditionalFormatting>
        <x14:conditionalFormatting xmlns:xm="http://schemas.microsoft.com/office/excel/2006/main">
          <x14:cfRule type="iconSet" priority="11" id="{8BF87A08-35FB-4ED8-8B97-09BCC776D522}">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C50:E55</xm:sqref>
        </x14:conditionalFormatting>
        <x14:conditionalFormatting xmlns:xm="http://schemas.microsoft.com/office/excel/2006/main">
          <x14:cfRule type="iconSet" priority="89" id="{540D6522-A70B-47F8-BF4A-9970EBF40BF1}">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C63:E68</xm:sqref>
        </x14:conditionalFormatting>
        <x14:conditionalFormatting xmlns:xm="http://schemas.microsoft.com/office/excel/2006/main">
          <x14:cfRule type="iconSet" priority="113" id="{506C65BA-CA00-4E1D-AEB5-7A0EAF48573A}">
            <x14:iconSet iconSet="4TrafficLights" custom="1">
              <x14:cfvo type="percent">
                <xm:f>0</xm:f>
              </x14:cfvo>
              <x14:cfvo type="percent">
                <xm:f>1</xm:f>
              </x14:cfvo>
              <x14:cfvo type="percent">
                <xm:f>60</xm:f>
              </x14:cfvo>
              <x14:cfvo type="percent">
                <xm:f>80</xm:f>
              </x14:cfvo>
              <x14:cfIcon iconSet="3TrafficLights1" iconId="0"/>
              <x14:cfIcon iconSet="3Symbols" iconId="1"/>
              <x14:cfIcon iconSet="3TrafficLights1" iconId="1"/>
              <x14:cfIcon iconSet="3TrafficLights1" iconId="2"/>
            </x14:iconSet>
          </x14:cfRule>
          <xm:sqref>C32:Q32</xm:sqref>
        </x14:conditionalFormatting>
        <x14:conditionalFormatting xmlns:xm="http://schemas.microsoft.com/office/excel/2006/main">
          <x14:cfRule type="iconSet" priority="118" id="{6BC7EEF9-55EC-4F0D-9488-377994972C3F}">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C44:R44</xm:sqref>
        </x14:conditionalFormatting>
        <x14:conditionalFormatting xmlns:xm="http://schemas.microsoft.com/office/excel/2006/main">
          <x14:cfRule type="iconSet" priority="120" id="{0FF2EFA0-E4C7-4C2E-AB56-AD7E0D30C367}">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C56:R56</xm:sqref>
        </x14:conditionalFormatting>
        <x14:conditionalFormatting xmlns:xm="http://schemas.microsoft.com/office/excel/2006/main">
          <x14:cfRule type="iconSet" priority="116" id="{9DD09876-A305-4C2F-B6EF-695DE0658A44}">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C69:R69</xm:sqref>
        </x14:conditionalFormatting>
        <x14:conditionalFormatting xmlns:xm="http://schemas.microsoft.com/office/excel/2006/main">
          <x14:cfRule type="iconSet" priority="83" id="{30829EA7-27D2-4BF0-AF25-E95A83F6BEEF}">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D26:D31</xm:sqref>
        </x14:conditionalFormatting>
        <x14:conditionalFormatting xmlns:xm="http://schemas.microsoft.com/office/excel/2006/main">
          <x14:cfRule type="iconSet" priority="106" id="{91C673F5-6965-4BFE-BB0B-A366FE07D317}">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D38:D43</xm:sqref>
        </x14:conditionalFormatting>
        <x14:conditionalFormatting xmlns:xm="http://schemas.microsoft.com/office/excel/2006/main">
          <x14:cfRule type="iconSet" priority="81" id="{BCC0E7D7-5FB6-45D8-BDEF-22725390832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E26:E31</xm:sqref>
        </x14:conditionalFormatting>
        <x14:conditionalFormatting xmlns:xm="http://schemas.microsoft.com/office/excel/2006/main">
          <x14:cfRule type="iconSet" priority="105" id="{23CAD987-5E5E-4F32-B51F-93ED4E94692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E38:E43</xm:sqref>
        </x14:conditionalFormatting>
        <x14:conditionalFormatting xmlns:xm="http://schemas.microsoft.com/office/excel/2006/main">
          <x14:cfRule type="iconSet" priority="104" id="{49DD92B2-AB65-4716-BB30-964942B3D5FB}">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F38:F43</xm:sqref>
        </x14:conditionalFormatting>
        <x14:conditionalFormatting xmlns:xm="http://schemas.microsoft.com/office/excel/2006/main">
          <x14:cfRule type="iconSet" priority="15" id="{7CC932F2-14A7-48FE-903C-9B74CDA9BCC6}">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F63:H68</xm:sqref>
        </x14:conditionalFormatting>
        <x14:conditionalFormatting xmlns:xm="http://schemas.microsoft.com/office/excel/2006/main">
          <x14:cfRule type="iconSet" priority="3" id="{F0E5E22F-951E-439D-A375-80653ABA4A74}">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F50:N55</xm:sqref>
        </x14:conditionalFormatting>
        <x14:conditionalFormatting xmlns:xm="http://schemas.microsoft.com/office/excel/2006/main">
          <x14:cfRule type="iconSet" priority="103" id="{658B97DA-6F02-47C9-A478-F756E9CDDFAB}">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G38:G43</xm:sqref>
        </x14:conditionalFormatting>
        <x14:conditionalFormatting xmlns:xm="http://schemas.microsoft.com/office/excel/2006/main">
          <x14:cfRule type="iconSet" priority="102" id="{A245779B-897A-4596-A33F-8741BB77326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H38:H43</xm:sqref>
        </x14:conditionalFormatting>
        <x14:conditionalFormatting xmlns:xm="http://schemas.microsoft.com/office/excel/2006/main">
          <x14:cfRule type="iconSet" priority="101" id="{C38ADD8A-E9EF-41EE-90F5-87661D1589F1}">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I38:I43</xm:sqref>
        </x14:conditionalFormatting>
        <x14:conditionalFormatting xmlns:xm="http://schemas.microsoft.com/office/excel/2006/main">
          <x14:cfRule type="iconSet" priority="14" id="{88625F49-FF89-424E-BBAE-28C55003BD1C}">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I63:K68</xm:sqref>
        </x14:conditionalFormatting>
        <x14:conditionalFormatting xmlns:xm="http://schemas.microsoft.com/office/excel/2006/main">
          <x14:cfRule type="iconSet" priority="100" id="{785A8064-E3A1-48FF-949F-A8E4739D17B3}">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J38:J43</xm:sqref>
        </x14:conditionalFormatting>
        <x14:conditionalFormatting xmlns:xm="http://schemas.microsoft.com/office/excel/2006/main">
          <x14:cfRule type="iconSet" priority="99" id="{E8197346-F6BB-4958-AA8E-332259017F6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K38:K43</xm:sqref>
        </x14:conditionalFormatting>
        <x14:conditionalFormatting xmlns:xm="http://schemas.microsoft.com/office/excel/2006/main">
          <x14:cfRule type="iconSet" priority="6" id="{3737B655-FC77-48CA-B6F9-776BFDBDB48B}">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L26:L31 I26:I31 F26:F31</xm:sqref>
        </x14:conditionalFormatting>
        <x14:conditionalFormatting xmlns:xm="http://schemas.microsoft.com/office/excel/2006/main">
          <x14:cfRule type="iconSet" priority="98" id="{EA4FB3EC-80F4-4220-8092-3ACC3119FF58}">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L38:L43</xm:sqref>
        </x14:conditionalFormatting>
        <x14:conditionalFormatting xmlns:xm="http://schemas.microsoft.com/office/excel/2006/main">
          <x14:cfRule type="iconSet" priority="13" id="{1A18D689-4972-46FF-85ED-FBC52BE01B1F}">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L63:N68</xm:sqref>
        </x14:conditionalFormatting>
        <x14:conditionalFormatting xmlns:xm="http://schemas.microsoft.com/office/excel/2006/main">
          <x14:cfRule type="iconSet" priority="5" id="{39EABB0B-DC7A-4715-B93E-59531D1AD91B}">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M26:M31 J26:J31 G26:G31</xm:sqref>
        </x14:conditionalFormatting>
        <x14:conditionalFormatting xmlns:xm="http://schemas.microsoft.com/office/excel/2006/main">
          <x14:cfRule type="iconSet" priority="97" id="{B49FC386-8EF2-498C-ABB3-D9F2CCCA4AF6}">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M38:M43</xm:sqref>
        </x14:conditionalFormatting>
        <x14:conditionalFormatting xmlns:xm="http://schemas.microsoft.com/office/excel/2006/main">
          <x14:cfRule type="iconSet" priority="4" id="{71789B8F-7450-41A4-BDD8-3F2364292249}">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N26:N31 K26:K31 H26:H31</xm:sqref>
        </x14:conditionalFormatting>
        <x14:conditionalFormatting xmlns:xm="http://schemas.microsoft.com/office/excel/2006/main">
          <x14:cfRule type="iconSet" priority="96" id="{0F46C260-7200-4F5E-A0C8-1189A250BF3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N38:N43</xm:sqref>
        </x14:conditionalFormatting>
        <x14:conditionalFormatting xmlns:xm="http://schemas.microsoft.com/office/excel/2006/main">
          <x14:cfRule type="iconSet" priority="111" id="{5639942A-C47C-4444-9C91-29E9269234E7}">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O26:O31</xm:sqref>
        </x14:conditionalFormatting>
        <x14:conditionalFormatting xmlns:xm="http://schemas.microsoft.com/office/excel/2006/main">
          <x14:cfRule type="iconSet" priority="95" id="{46C9A026-04A1-4D96-8167-528250A8B799}">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O38:O43</xm:sqref>
        </x14:conditionalFormatting>
        <x14:conditionalFormatting xmlns:xm="http://schemas.microsoft.com/office/excel/2006/main">
          <x14:cfRule type="iconSet" priority="90" id="{8261FD48-CCA9-4E09-B884-4D4906F8776D}">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O50:Q50</xm:sqref>
        </x14:conditionalFormatting>
        <x14:conditionalFormatting xmlns:xm="http://schemas.microsoft.com/office/excel/2006/main">
          <x14:cfRule type="iconSet" priority="2" id="{97C8A967-04D5-488C-A821-FED0B3031CF5}">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O51:Q55</xm:sqref>
        </x14:conditionalFormatting>
        <x14:conditionalFormatting xmlns:xm="http://schemas.microsoft.com/office/excel/2006/main">
          <x14:cfRule type="iconSet" priority="85" id="{6A561D9D-904D-4DE7-AB51-2E0A54292D27}">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O63:Q63</xm:sqref>
        </x14:conditionalFormatting>
        <x14:conditionalFormatting xmlns:xm="http://schemas.microsoft.com/office/excel/2006/main">
          <x14:cfRule type="iconSet" priority="1" id="{FD5CEBB3-C182-4EA6-A32D-C2FADE06D417}">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O64:Q68</xm:sqref>
        </x14:conditionalFormatting>
        <x14:conditionalFormatting xmlns:xm="http://schemas.microsoft.com/office/excel/2006/main">
          <x14:cfRule type="iconSet" priority="110" id="{AD9AB43E-60BF-4093-B66A-D799EB09335C}">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P26:P31</xm:sqref>
        </x14:conditionalFormatting>
        <x14:conditionalFormatting xmlns:xm="http://schemas.microsoft.com/office/excel/2006/main">
          <x14:cfRule type="iconSet" priority="94" id="{34E7D91A-BEED-4BFA-9F59-B298F280613E}">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P38:P43</xm:sqref>
        </x14:conditionalFormatting>
        <x14:conditionalFormatting xmlns:xm="http://schemas.microsoft.com/office/excel/2006/main">
          <x14:cfRule type="iconSet" priority="109" id="{72C8C7F0-2F34-4701-9B14-52E93ABE6C51}">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Q26:Q31</xm:sqref>
        </x14:conditionalFormatting>
        <x14:conditionalFormatting xmlns:xm="http://schemas.microsoft.com/office/excel/2006/main">
          <x14:cfRule type="iconSet" priority="93" id="{8C239B10-F335-45A7-9E2F-2942DFF5FF35}">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Q38:Q43</xm:sqref>
        </x14:conditionalFormatting>
        <x14:conditionalFormatting xmlns:xm="http://schemas.microsoft.com/office/excel/2006/main">
          <x14:cfRule type="iconSet" priority="114" id="{182681C7-DB00-488D-A3C7-60C0E8BD295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R26:R31</xm:sqref>
        </x14:conditionalFormatting>
        <x14:conditionalFormatting xmlns:xm="http://schemas.microsoft.com/office/excel/2006/main">
          <x14:cfRule type="iconSet" priority="115" id="{A9CDA8F3-B0AC-4F2A-8264-E8449B1CB64A}">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R32</xm:sqref>
        </x14:conditionalFormatting>
        <x14:conditionalFormatting xmlns:xm="http://schemas.microsoft.com/office/excel/2006/main">
          <x14:cfRule type="iconSet" priority="119" id="{A88A6F33-2DC8-4D15-BCDD-40F1AC74BF23}">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R38:R43</xm:sqref>
        </x14:conditionalFormatting>
        <x14:conditionalFormatting xmlns:xm="http://schemas.microsoft.com/office/excel/2006/main">
          <x14:cfRule type="iconSet" priority="121" id="{69D7CF6A-8AEB-45F6-81E2-D1BD44AFCA61}">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R50:R55</xm:sqref>
        </x14:conditionalFormatting>
        <x14:conditionalFormatting xmlns:xm="http://schemas.microsoft.com/office/excel/2006/main">
          <x14:cfRule type="iconSet" priority="117" id="{20E18342-93DD-4BA6-BB8A-5DC3A51F8986}">
            <x14:iconSet iconSet="4TrafficLights" custom="1">
              <x14:cfvo type="percent">
                <xm:f>0</xm:f>
              </x14:cfvo>
              <x14:cfvo type="percent">
                <xm:f>25</xm:f>
              </x14:cfvo>
              <x14:cfvo type="percent">
                <xm:f>50</xm:f>
              </x14:cfvo>
              <x14:cfvo type="percent">
                <xm:f>75</xm:f>
              </x14:cfvo>
              <x14:cfIcon iconSet="3TrafficLights1" iconId="0"/>
              <x14:cfIcon iconSet="3Symbols" iconId="1"/>
              <x14:cfIcon iconSet="3TrafficLights1" iconId="1"/>
              <x14:cfIcon iconSet="3TrafficLights1" iconId="2"/>
            </x14:iconSet>
          </x14:cfRule>
          <xm:sqref>R63:R68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B1B70-57C9-C441-9DB3-FBD6D9D0FB6E}">
  <dimension ref="B2:E20"/>
  <sheetViews>
    <sheetView topLeftCell="B1" zoomScale="180" workbookViewId="0">
      <selection activeCell="E8" sqref="E8"/>
    </sheetView>
  </sheetViews>
  <sheetFormatPr baseColWidth="10" defaultColWidth="11.42578125" defaultRowHeight="15" x14ac:dyDescent="0.25"/>
  <cols>
    <col min="2" max="2" width="68.85546875" customWidth="1"/>
  </cols>
  <sheetData>
    <row r="2" spans="2:5" x14ac:dyDescent="0.25">
      <c r="B2" s="2" t="s">
        <v>42</v>
      </c>
      <c r="C2" s="2" t="s">
        <v>43</v>
      </c>
      <c r="D2" s="2" t="s">
        <v>44</v>
      </c>
      <c r="E2" s="2" t="s">
        <v>45</v>
      </c>
    </row>
    <row r="3" spans="2:5" x14ac:dyDescent="0.25">
      <c r="B3" s="1" t="s">
        <v>46</v>
      </c>
      <c r="C3" s="3" t="s">
        <v>47</v>
      </c>
      <c r="D3" s="3" t="s">
        <v>48</v>
      </c>
      <c r="E3" s="1" t="s">
        <v>47</v>
      </c>
    </row>
    <row r="4" spans="2:5" x14ac:dyDescent="0.25">
      <c r="B4" s="1" t="s">
        <v>49</v>
      </c>
      <c r="C4" s="3" t="s">
        <v>47</v>
      </c>
      <c r="D4" s="3" t="s">
        <v>50</v>
      </c>
      <c r="E4" s="1" t="s">
        <v>47</v>
      </c>
    </row>
    <row r="5" spans="2:5" x14ac:dyDescent="0.25">
      <c r="B5" s="1" t="s">
        <v>51</v>
      </c>
      <c r="C5" s="3" t="s">
        <v>47</v>
      </c>
      <c r="D5" s="3" t="s">
        <v>52</v>
      </c>
      <c r="E5" s="1" t="s">
        <v>53</v>
      </c>
    </row>
    <row r="6" spans="2:5" x14ac:dyDescent="0.25">
      <c r="B6" s="1" t="s">
        <v>41</v>
      </c>
      <c r="C6" s="3" t="s">
        <v>47</v>
      </c>
      <c r="D6" s="3" t="s">
        <v>54</v>
      </c>
      <c r="E6" s="1" t="s">
        <v>47</v>
      </c>
    </row>
    <row r="7" spans="2:5" x14ac:dyDescent="0.25">
      <c r="B7" s="1" t="s">
        <v>40</v>
      </c>
      <c r="C7" s="3" t="s">
        <v>47</v>
      </c>
      <c r="D7" s="3" t="s">
        <v>55</v>
      </c>
      <c r="E7" s="1" t="s">
        <v>47</v>
      </c>
    </row>
    <row r="8" spans="2:5" x14ac:dyDescent="0.25">
      <c r="B8" s="1" t="s">
        <v>56</v>
      </c>
      <c r="C8" s="3" t="s">
        <v>47</v>
      </c>
      <c r="D8" s="3" t="s">
        <v>55</v>
      </c>
      <c r="E8" s="1" t="s">
        <v>47</v>
      </c>
    </row>
    <row r="9" spans="2:5" x14ac:dyDescent="0.25">
      <c r="B9" s="1" t="s">
        <v>57</v>
      </c>
      <c r="C9" s="3" t="s">
        <v>58</v>
      </c>
      <c r="D9" s="3" t="s">
        <v>54</v>
      </c>
      <c r="E9" s="1" t="s">
        <v>47</v>
      </c>
    </row>
    <row r="10" spans="2:5" x14ac:dyDescent="0.25">
      <c r="B10" s="1" t="s">
        <v>59</v>
      </c>
      <c r="C10" s="3" t="s">
        <v>47</v>
      </c>
      <c r="D10" s="3" t="s">
        <v>60</v>
      </c>
      <c r="E10" s="1" t="s">
        <v>47</v>
      </c>
    </row>
    <row r="11" spans="2:5" x14ac:dyDescent="0.25">
      <c r="B11" s="1" t="s">
        <v>61</v>
      </c>
      <c r="C11" s="3" t="s">
        <v>47</v>
      </c>
      <c r="D11" s="3" t="s">
        <v>62</v>
      </c>
      <c r="E11" s="1" t="s">
        <v>47</v>
      </c>
    </row>
    <row r="12" spans="2:5" x14ac:dyDescent="0.25">
      <c r="B12" s="1" t="s">
        <v>63</v>
      </c>
      <c r="C12" s="3" t="s">
        <v>47</v>
      </c>
      <c r="D12" s="3" t="s">
        <v>50</v>
      </c>
      <c r="E12" s="1" t="s">
        <v>47</v>
      </c>
    </row>
    <row r="13" spans="2:5" x14ac:dyDescent="0.25">
      <c r="B13" s="1" t="s">
        <v>64</v>
      </c>
      <c r="C13" s="3" t="s">
        <v>47</v>
      </c>
      <c r="D13" s="3" t="s">
        <v>48</v>
      </c>
      <c r="E13" s="1" t="s">
        <v>47</v>
      </c>
    </row>
    <row r="14" spans="2:5" x14ac:dyDescent="0.25">
      <c r="B14" s="1" t="s">
        <v>65</v>
      </c>
      <c r="C14" s="3" t="s">
        <v>47</v>
      </c>
      <c r="D14" s="3" t="s">
        <v>55</v>
      </c>
      <c r="E14" s="1" t="s">
        <v>47</v>
      </c>
    </row>
    <row r="15" spans="2:5" x14ac:dyDescent="0.25">
      <c r="B15" s="1" t="s">
        <v>66</v>
      </c>
      <c r="C15" s="3" t="s">
        <v>47</v>
      </c>
      <c r="D15" s="3" t="s">
        <v>48</v>
      </c>
      <c r="E15" s="1" t="s">
        <v>67</v>
      </c>
    </row>
    <row r="16" spans="2:5" x14ac:dyDescent="0.25">
      <c r="B16" s="1" t="s">
        <v>68</v>
      </c>
      <c r="C16" s="3" t="s">
        <v>47</v>
      </c>
      <c r="D16" s="3" t="s">
        <v>52</v>
      </c>
      <c r="E16" s="1" t="s">
        <v>47</v>
      </c>
    </row>
    <row r="17" spans="2:5" x14ac:dyDescent="0.25">
      <c r="B17" s="1" t="s">
        <v>69</v>
      </c>
      <c r="C17" s="3" t="s">
        <v>47</v>
      </c>
      <c r="D17" s="3" t="s">
        <v>60</v>
      </c>
      <c r="E17" s="1" t="s">
        <v>47</v>
      </c>
    </row>
    <row r="18" spans="2:5" x14ac:dyDescent="0.25">
      <c r="B18" s="1" t="s">
        <v>70</v>
      </c>
      <c r="C18" s="3" t="s">
        <v>47</v>
      </c>
      <c r="D18" s="3" t="s">
        <v>71</v>
      </c>
      <c r="E18" s="1" t="s">
        <v>47</v>
      </c>
    </row>
    <row r="19" spans="2:5" x14ac:dyDescent="0.25">
      <c r="B19" s="1" t="s">
        <v>72</v>
      </c>
      <c r="C19" s="3" t="s">
        <v>47</v>
      </c>
      <c r="D19" s="3" t="s">
        <v>54</v>
      </c>
      <c r="E19" s="1" t="s">
        <v>47</v>
      </c>
    </row>
    <row r="20" spans="2:5" x14ac:dyDescent="0.25">
      <c r="B20" s="1" t="s">
        <v>73</v>
      </c>
      <c r="C20" s="3" t="s">
        <v>47</v>
      </c>
      <c r="D20" s="3" t="s">
        <v>48</v>
      </c>
      <c r="E20" s="1" t="s">
        <v>47</v>
      </c>
    </row>
  </sheetData>
  <autoFilter ref="B2:D20" xr:uid="{BC8B1B70-57C9-C441-9DB3-FBD6D9D0FB6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Consolidado</vt:lpstr>
      <vt:lpstr>Avances</vt:lpstr>
      <vt:lpstr>Hoja1</vt:lpstr>
      <vt:lpstr>Avances!Área_de_impresión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Avellaneda Chaves</dc:creator>
  <cp:keywords/>
  <dc:description/>
  <cp:lastModifiedBy>Adriana Moreno Roncancio</cp:lastModifiedBy>
  <cp:revision/>
  <dcterms:created xsi:type="dcterms:W3CDTF">2023-01-31T14:45:27Z</dcterms:created>
  <dcterms:modified xsi:type="dcterms:W3CDTF">2025-08-22T17:24:49Z</dcterms:modified>
  <cp:category/>
  <cp:contentStatus/>
</cp:coreProperties>
</file>